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3.xml" ContentType="application/vnd.openxmlformats-officedocument.spreadsheetml.comments+xml"/>
  <Override PartName="/xl/charts/chart1.xml" ContentType="application/vnd.openxmlformats-officedocument.drawingml.chart+xml"/>
  <Override PartName="/xl/drawings/drawing5.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charts/chart6.xml" ContentType="application/vnd.openxmlformats-officedocument.drawingml.chart+xml"/>
  <Override PartName="/xl/drawings/drawing10.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comments7.xml" ContentType="application/vnd.openxmlformats-officedocument.spreadsheetml.comments+xml"/>
  <Override PartName="/xl/threadedComments/threadedComment2.xml" ContentType="application/vnd.ms-excel.threadedcomments+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eslie Hidde\Downloads\"/>
    </mc:Choice>
  </mc:AlternateContent>
  <xr:revisionPtr revIDLastSave="0" documentId="13_ncr:1_{6028793E-480F-48BC-BD81-4065308E1044}" xr6:coauthVersionLast="47" xr6:coauthVersionMax="47" xr10:uidLastSave="{00000000-0000-0000-0000-000000000000}"/>
  <bookViews>
    <workbookView xWindow="-108" yWindow="-108" windowWidth="30936" windowHeight="16776" tabRatio="666" activeTab="4" xr2:uid="{290CD17C-F6C8-439E-9CBB-B1CA8AA23709}"/>
  </bookViews>
  <sheets>
    <sheet name="Directions" sheetId="15" r:id="rId1"/>
    <sheet name="Directions - Modification" sheetId="16" r:id="rId2"/>
    <sheet name="Printing Directions" sheetId="14" r:id="rId3"/>
    <sheet name="1 Certification" sheetId="9" r:id="rId4"/>
    <sheet name="1A Modification" sheetId="17" r:id="rId5"/>
    <sheet name="2 Aggregate System" sheetId="1" r:id="rId6"/>
    <sheet name="3 Paste Quality" sheetId="2" r:id="rId7"/>
    <sheet name="4 Mix Design" sheetId="3" r:id="rId8"/>
    <sheet name="Optimize Tool" sheetId="13" r:id="rId9"/>
    <sheet name="Data_Charts" sheetId="6" r:id="rId10"/>
    <sheet name="5 Agg Analysis" sheetId="4" state="hidden" r:id="rId11"/>
    <sheet name="6 Calculation Check" sheetId="11" state="hidden" r:id="rId12"/>
    <sheet name="Unit Wt_Voids in Agg (optional)" sheetId="10" state="hidden" r:id="rId13"/>
  </sheets>
  <externalReferences>
    <externalReference r:id="rId14"/>
  </externalReferences>
  <definedNames>
    <definedName name="_xlnm.Print_Area" localSheetId="3">'1 Certification'!$A$1:$J$134</definedName>
    <definedName name="_xlnm.Print_Area" localSheetId="4">'1A Modification'!$B$1:$I$192</definedName>
    <definedName name="_xlnm.Print_Area" localSheetId="5">'2 Aggregate System'!$A$1:$L$41</definedName>
    <definedName name="_xlnm.Print_Area" localSheetId="6">'3 Paste Quality'!$A$1:$I$52</definedName>
    <definedName name="_xlnm.Print_Area" localSheetId="7">'4 Mix Design'!$A$1:$M$65</definedName>
    <definedName name="_xlnm.Print_Area" localSheetId="9">Data_Charts!$A$1:$P$59</definedName>
    <definedName name="_xlnm.Print_Area" localSheetId="0">Directions!$A$1:$P$131</definedName>
    <definedName name="_xlnm.Print_Area" localSheetId="8">'Optimize Tool'!$A$1:$M$57</definedName>
    <definedName name="_xlnm.Print_Area" localSheetId="2">'Printing Directions'!$A$1:$P$54</definedName>
    <definedName name="_xlnm.Print_Titles" localSheetId="4">'1A Modification'!$1:$7</definedName>
    <definedName name="solver_adj" localSheetId="5" hidden="1">'2 Aggregate System'!#REF!,'2 Aggregate System'!#REF!,'2 Aggregate System'!$G$24,'2 Aggregate System'!#REF!,'2 Aggregate System'!#REF!</definedName>
    <definedName name="solver_adj" localSheetId="7" hidden="1">'4 Mix Design'!$D$16,'4 Mix Design'!$D$17,'4 Mix Design'!$D$19</definedName>
    <definedName name="solver_adj" localSheetId="8" hidden="1">'Optimize Tool'!$D$9,'Optimize Tool'!$D$10,'Optimize Tool'!$D$12,'Optimize Tool'!$D$14</definedName>
    <definedName name="solver_cvg" localSheetId="5" hidden="1">0.0001</definedName>
    <definedName name="solver_cvg" localSheetId="7" hidden="1">0.0001</definedName>
    <definedName name="solver_cvg" localSheetId="8" hidden="1">0.0001</definedName>
    <definedName name="solver_drv" localSheetId="5" hidden="1">1</definedName>
    <definedName name="solver_drv" localSheetId="7" hidden="1">2</definedName>
    <definedName name="solver_drv" localSheetId="8" hidden="1">2</definedName>
    <definedName name="solver_eng" localSheetId="5" hidden="1">1</definedName>
    <definedName name="solver_eng" localSheetId="6" hidden="1">1</definedName>
    <definedName name="solver_eng" localSheetId="7" hidden="1">1</definedName>
    <definedName name="solver_eng" localSheetId="8" hidden="1">1</definedName>
    <definedName name="solver_est" localSheetId="5" hidden="1">1</definedName>
    <definedName name="solver_est" localSheetId="7" hidden="1">1</definedName>
    <definedName name="solver_est" localSheetId="8" hidden="1">1</definedName>
    <definedName name="solver_itr" localSheetId="5" hidden="1">2147483647</definedName>
    <definedName name="solver_itr" localSheetId="7" hidden="1">2147483647</definedName>
    <definedName name="solver_itr" localSheetId="8" hidden="1">2147483647</definedName>
    <definedName name="solver_lhs1" localSheetId="5" hidden="1">'2 Aggregate System'!$A$23</definedName>
    <definedName name="solver_lhs1" localSheetId="7" hidden="1">'4 Mix Design'!$C$31</definedName>
    <definedName name="solver_lhs1" localSheetId="8" hidden="1">'Optimize Tool'!$D$14</definedName>
    <definedName name="solver_lhs2" localSheetId="5" hidden="1">'4 Mix Design'!$U$74</definedName>
    <definedName name="solver_lhs2" localSheetId="7" hidden="1">'4 Mix Design'!$P$22</definedName>
    <definedName name="solver_lhs2" localSheetId="8" hidden="1">'Optimize Tool'!$D$15</definedName>
    <definedName name="solver_lhs3" localSheetId="5" hidden="1">'4 Mix Design'!$U$74</definedName>
    <definedName name="solver_lhs3" localSheetId="8" hidden="1">'Optimize Tool'!$I$56</definedName>
    <definedName name="solver_lhs4" localSheetId="5" hidden="1">'4 Mix Design'!$U$76</definedName>
    <definedName name="solver_lhs4" localSheetId="8" hidden="1">'Optimize Tool'!$K$16</definedName>
    <definedName name="solver_lhs5" localSheetId="5" hidden="1">'2 Aggregate System'!#REF!</definedName>
    <definedName name="solver_lhs5" localSheetId="8" hidden="1">'Optimize Tool'!$P$12</definedName>
    <definedName name="solver_lhs6" localSheetId="5" hidden="1">'2 Aggregate System'!$K$41</definedName>
    <definedName name="solver_mip" localSheetId="5" hidden="1">2147483647</definedName>
    <definedName name="solver_mip" localSheetId="7" hidden="1">2147483647</definedName>
    <definedName name="solver_mip" localSheetId="8" hidden="1">2147483647</definedName>
    <definedName name="solver_mni" localSheetId="5" hidden="1">30</definedName>
    <definedName name="solver_mni" localSheetId="7" hidden="1">30</definedName>
    <definedName name="solver_mni" localSheetId="8" hidden="1">30</definedName>
    <definedName name="solver_mrt" localSheetId="5" hidden="1">0.075</definedName>
    <definedName name="solver_mrt" localSheetId="7" hidden="1">0.075</definedName>
    <definedName name="solver_mrt" localSheetId="8" hidden="1">0.075</definedName>
    <definedName name="solver_msl" localSheetId="5" hidden="1">2</definedName>
    <definedName name="solver_msl" localSheetId="7" hidden="1">2</definedName>
    <definedName name="solver_msl" localSheetId="8" hidden="1">2</definedName>
    <definedName name="solver_neg" localSheetId="5" hidden="1">1</definedName>
    <definedName name="solver_neg" localSheetId="6" hidden="1">1</definedName>
    <definedName name="solver_neg" localSheetId="7" hidden="1">1</definedName>
    <definedName name="solver_neg" localSheetId="8" hidden="1">1</definedName>
    <definedName name="solver_nod" localSheetId="5" hidden="1">2147483647</definedName>
    <definedName name="solver_nod" localSheetId="7" hidden="1">2147483647</definedName>
    <definedName name="solver_nod" localSheetId="8" hidden="1">2147483647</definedName>
    <definedName name="solver_num" localSheetId="5" hidden="1">6</definedName>
    <definedName name="solver_num" localSheetId="6" hidden="1">0</definedName>
    <definedName name="solver_num" localSheetId="7" hidden="1">0</definedName>
    <definedName name="solver_num" localSheetId="8" hidden="1">5</definedName>
    <definedName name="solver_nwt" localSheetId="5" hidden="1">1</definedName>
    <definedName name="solver_nwt" localSheetId="7" hidden="1">1</definedName>
    <definedName name="solver_nwt" localSheetId="8" hidden="1">1</definedName>
    <definedName name="solver_opt" localSheetId="5" hidden="1">'2 Aggregate System'!$L$43</definedName>
    <definedName name="solver_opt" localSheetId="6" hidden="1">'3 Paste Quality'!$B$75</definedName>
    <definedName name="solver_opt" localSheetId="7" hidden="1">'4 Mix Design'!$H$28</definedName>
    <definedName name="solver_opt" localSheetId="8" hidden="1">'Optimize Tool'!$P$10</definedName>
    <definedName name="solver_pre" localSheetId="5" hidden="1">0.001</definedName>
    <definedName name="solver_pre" localSheetId="7" hidden="1">0.001</definedName>
    <definedName name="solver_pre" localSheetId="8" hidden="1">0.001</definedName>
    <definedName name="solver_rbv" localSheetId="5" hidden="1">1</definedName>
    <definedName name="solver_rbv" localSheetId="7" hidden="1">2</definedName>
    <definedName name="solver_rbv" localSheetId="8" hidden="1">2</definedName>
    <definedName name="solver_rel1" localSheetId="5" hidden="1">2</definedName>
    <definedName name="solver_rel1" localSheetId="7" hidden="1">3</definedName>
    <definedName name="solver_rel1" localSheetId="8" hidden="1">3</definedName>
    <definedName name="solver_rel2" localSheetId="5" hidden="1">1</definedName>
    <definedName name="solver_rel2" localSheetId="7" hidden="1">3</definedName>
    <definedName name="solver_rel2" localSheetId="8" hidden="1">2</definedName>
    <definedName name="solver_rel3" localSheetId="5" hidden="1">3</definedName>
    <definedName name="solver_rel3" localSheetId="8" hidden="1">1</definedName>
    <definedName name="solver_rel4" localSheetId="5" hidden="1">3</definedName>
    <definedName name="solver_rel4" localSheetId="8" hidden="1">2</definedName>
    <definedName name="solver_rel5" localSheetId="5" hidden="1">2</definedName>
    <definedName name="solver_rel5" localSheetId="8" hidden="1">2</definedName>
    <definedName name="solver_rel6" localSheetId="5" hidden="1">2</definedName>
    <definedName name="solver_rhs1" localSheetId="5" hidden="1">100</definedName>
    <definedName name="solver_rhs1" localSheetId="7" hidden="1">500</definedName>
    <definedName name="solver_rhs1" localSheetId="8" hidden="1">2700</definedName>
    <definedName name="solver_rhs2" localSheetId="5" hidden="1">34</definedName>
    <definedName name="solver_rhs2" localSheetId="7" hidden="1">125</definedName>
    <definedName name="solver_rhs2" localSheetId="8" hidden="1">100</definedName>
    <definedName name="solver_rhs3" localSheetId="5" hidden="1">24</definedName>
    <definedName name="solver_rhs3" localSheetId="8" hidden="1">2.3</definedName>
    <definedName name="solver_rhs4" localSheetId="5" hidden="1">15</definedName>
    <definedName name="solver_rhs4" localSheetId="8" hidden="1">27.2</definedName>
    <definedName name="solver_rhs5" localSheetId="5" hidden="1">0</definedName>
    <definedName name="solver_rhs5" localSheetId="8" hidden="1">0</definedName>
    <definedName name="solver_rhs6" localSheetId="5" hidden="1">0</definedName>
    <definedName name="solver_rlx" localSheetId="5" hidden="1">2</definedName>
    <definedName name="solver_rlx" localSheetId="7" hidden="1">2</definedName>
    <definedName name="solver_rlx" localSheetId="8" hidden="1">2</definedName>
    <definedName name="solver_rsd" localSheetId="5" hidden="1">0</definedName>
    <definedName name="solver_rsd" localSheetId="7" hidden="1">0</definedName>
    <definedName name="solver_rsd" localSheetId="8" hidden="1">0</definedName>
    <definedName name="solver_scl" localSheetId="5" hidden="1">1</definedName>
    <definedName name="solver_scl" localSheetId="7" hidden="1">2</definedName>
    <definedName name="solver_scl" localSheetId="8" hidden="1">2</definedName>
    <definedName name="solver_sho" localSheetId="5" hidden="1">2</definedName>
    <definedName name="solver_sho" localSheetId="7" hidden="1">2</definedName>
    <definedName name="solver_sho" localSheetId="8" hidden="1">2</definedName>
    <definedName name="solver_ssz" localSheetId="5" hidden="1">100</definedName>
    <definedName name="solver_ssz" localSheetId="7" hidden="1">100</definedName>
    <definedName name="solver_ssz" localSheetId="8" hidden="1">100</definedName>
    <definedName name="solver_tim" localSheetId="5" hidden="1">2147483647</definedName>
    <definedName name="solver_tim" localSheetId="7" hidden="1">2147483647</definedName>
    <definedName name="solver_tim" localSheetId="8" hidden="1">2147483647</definedName>
    <definedName name="solver_tol" localSheetId="5" hidden="1">0.01</definedName>
    <definedName name="solver_tol" localSheetId="7" hidden="1">0.01</definedName>
    <definedName name="solver_tol" localSheetId="8" hidden="1">0.01</definedName>
    <definedName name="solver_typ" localSheetId="5" hidden="1">2</definedName>
    <definedName name="solver_typ" localSheetId="6" hidden="1">1</definedName>
    <definedName name="solver_typ" localSheetId="7" hidden="1">3</definedName>
    <definedName name="solver_typ" localSheetId="8" hidden="1">2</definedName>
    <definedName name="solver_val" localSheetId="5" hidden="1">0</definedName>
    <definedName name="solver_val" localSheetId="6" hidden="1">0</definedName>
    <definedName name="solver_val" localSheetId="7" hidden="1">27.2</definedName>
    <definedName name="solver_val" localSheetId="8" hidden="1">27.2</definedName>
    <definedName name="solver_ver" localSheetId="5" hidden="1">3</definedName>
    <definedName name="solver_ver" localSheetId="6" hidden="1">3</definedName>
    <definedName name="solver_ver" localSheetId="7" hidden="1">3</definedName>
    <definedName name="solver_ver" localSheetId="8"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76" i="17" l="1"/>
  <c r="H175" i="17"/>
  <c r="H174" i="17"/>
  <c r="H173" i="17"/>
  <c r="H172" i="17"/>
  <c r="H139" i="17"/>
  <c r="H138" i="17"/>
  <c r="H137" i="17"/>
  <c r="H136" i="17"/>
  <c r="H135" i="17"/>
  <c r="H102" i="17"/>
  <c r="H101" i="17"/>
  <c r="H100" i="17"/>
  <c r="H99" i="17"/>
  <c r="H98" i="17"/>
  <c r="H65" i="17"/>
  <c r="H64" i="17"/>
  <c r="H63" i="17"/>
  <c r="H62" i="17"/>
  <c r="H61" i="17"/>
  <c r="H28" i="17"/>
  <c r="H27" i="17"/>
  <c r="H26" i="17"/>
  <c r="H25" i="17"/>
  <c r="H24" i="17"/>
  <c r="D7" i="17"/>
  <c r="D6" i="17"/>
  <c r="D5" i="17"/>
  <c r="D4" i="17"/>
  <c r="D3" i="17"/>
  <c r="B2" i="17"/>
  <c r="A2" i="14"/>
  <c r="N10" i="14"/>
  <c r="A2" i="11"/>
  <c r="A2" i="4"/>
  <c r="A2" i="6"/>
  <c r="B4" i="6"/>
  <c r="A2" i="13"/>
  <c r="L9" i="13"/>
  <c r="A2" i="3"/>
  <c r="J9" i="3"/>
  <c r="F18" i="2"/>
  <c r="A2" i="2"/>
  <c r="J11" i="1"/>
  <c r="A2" i="1"/>
  <c r="B2" i="9"/>
  <c r="B63" i="9" l="1"/>
  <c r="S11" i="13" l="1"/>
  <c r="T11" i="13" s="1"/>
  <c r="I39" i="9" s="1"/>
  <c r="G96" i="9"/>
  <c r="G97" i="9"/>
  <c r="G98" i="9"/>
  <c r="G99" i="9"/>
  <c r="G95" i="9"/>
  <c r="N40" i="11"/>
  <c r="Q40" i="11" s="1"/>
  <c r="O40" i="11"/>
  <c r="R40" i="11" l="1"/>
  <c r="H88" i="9" s="1"/>
  <c r="G105" i="9" s="1"/>
  <c r="H112" i="9"/>
  <c r="H115" i="9"/>
  <c r="H117" i="9"/>
  <c r="H114" i="9" s="1"/>
  <c r="H113" i="9"/>
  <c r="H43" i="2"/>
  <c r="D15" i="13"/>
  <c r="AA97" i="4" l="1"/>
  <c r="AC100" i="4" s="1"/>
  <c r="AB92" i="4"/>
  <c r="AB93" i="4"/>
  <c r="AC93" i="4" s="1"/>
  <c r="AB94" i="4"/>
  <c r="AB95" i="4"/>
  <c r="AC95" i="4" s="1"/>
  <c r="AB91" i="4"/>
  <c r="AF75" i="4"/>
  <c r="AF76" i="4"/>
  <c r="AF77" i="4"/>
  <c r="AF78" i="4"/>
  <c r="AF79" i="4"/>
  <c r="AF80" i="4"/>
  <c r="AF81" i="4"/>
  <c r="AF82" i="4"/>
  <c r="AF83" i="4"/>
  <c r="AF84" i="4"/>
  <c r="AF85" i="4"/>
  <c r="AF86" i="4"/>
  <c r="AF74" i="4"/>
  <c r="AE75" i="4"/>
  <c r="AE76" i="4"/>
  <c r="AE77" i="4"/>
  <c r="AE78" i="4"/>
  <c r="AE79" i="4"/>
  <c r="AE80" i="4"/>
  <c r="AE81" i="4"/>
  <c r="AE82" i="4"/>
  <c r="AE83" i="4"/>
  <c r="AE84" i="4"/>
  <c r="AE85" i="4"/>
  <c r="AE86" i="4"/>
  <c r="AE74" i="4"/>
  <c r="AD75" i="4"/>
  <c r="AD76" i="4"/>
  <c r="AD77" i="4"/>
  <c r="AD78" i="4"/>
  <c r="AD79" i="4"/>
  <c r="AI79" i="4" s="1"/>
  <c r="D49" i="13" s="1"/>
  <c r="AD80" i="4"/>
  <c r="AD81" i="4"/>
  <c r="AD82" i="4"/>
  <c r="AD83" i="4"/>
  <c r="AD84" i="4"/>
  <c r="AD85" i="4"/>
  <c r="AD86" i="4"/>
  <c r="AD74" i="4"/>
  <c r="AI74" i="4" s="1"/>
  <c r="D44" i="13" s="1"/>
  <c r="AC75" i="4"/>
  <c r="AC76" i="4"/>
  <c r="AC77" i="4"/>
  <c r="AC78" i="4"/>
  <c r="AC79" i="4"/>
  <c r="AC80" i="4"/>
  <c r="AC81" i="4"/>
  <c r="AC82" i="4"/>
  <c r="AC83" i="4"/>
  <c r="AC84" i="4"/>
  <c r="AC85" i="4"/>
  <c r="AC86" i="4"/>
  <c r="AC74" i="4"/>
  <c r="AB75" i="4"/>
  <c r="AB76" i="4"/>
  <c r="AB77" i="4"/>
  <c r="AB78" i="4"/>
  <c r="AB79" i="4"/>
  <c r="AB80" i="4"/>
  <c r="AB81" i="4"/>
  <c r="AB82" i="4"/>
  <c r="AB83" i="4"/>
  <c r="AB84" i="4"/>
  <c r="AB85" i="4"/>
  <c r="AB86" i="4"/>
  <c r="AB74" i="4"/>
  <c r="E10" i="13"/>
  <c r="E17" i="3" s="1"/>
  <c r="E11" i="13"/>
  <c r="E18" i="3" s="1"/>
  <c r="E12" i="13"/>
  <c r="E19" i="3" s="1"/>
  <c r="E13" i="13"/>
  <c r="E20" i="3" s="1"/>
  <c r="E9" i="13"/>
  <c r="E16" i="3" s="1"/>
  <c r="I13" i="13"/>
  <c r="I12" i="13"/>
  <c r="I11" i="13"/>
  <c r="I10" i="13"/>
  <c r="H10" i="13"/>
  <c r="H9" i="13"/>
  <c r="B13" i="13"/>
  <c r="A13" i="13"/>
  <c r="B12" i="13"/>
  <c r="A12" i="13"/>
  <c r="B11" i="13"/>
  <c r="A11" i="13"/>
  <c r="B10" i="13"/>
  <c r="A10" i="13"/>
  <c r="B9" i="13"/>
  <c r="A9" i="13"/>
  <c r="D38" i="11"/>
  <c r="AI81" i="4" l="1"/>
  <c r="D51" i="13" s="1"/>
  <c r="AI80" i="4"/>
  <c r="D50" i="13" s="1"/>
  <c r="AI86" i="4"/>
  <c r="D56" i="13" s="1"/>
  <c r="AI85" i="4"/>
  <c r="D55" i="13" s="1"/>
  <c r="AK75" i="4"/>
  <c r="F45" i="13" s="1"/>
  <c r="AK80" i="4"/>
  <c r="F50" i="13" s="1"/>
  <c r="AK74" i="4"/>
  <c r="F44" i="13" s="1"/>
  <c r="AK79" i="4"/>
  <c r="F49" i="13" s="1"/>
  <c r="AK86" i="4"/>
  <c r="F56" i="13" s="1"/>
  <c r="AK78" i="4"/>
  <c r="F48" i="13" s="1"/>
  <c r="AK82" i="4"/>
  <c r="F52" i="13" s="1"/>
  <c r="AK85" i="4"/>
  <c r="F55" i="13" s="1"/>
  <c r="AK77" i="4"/>
  <c r="F47" i="13" s="1"/>
  <c r="AK83" i="4"/>
  <c r="F53" i="13" s="1"/>
  <c r="AK81" i="4"/>
  <c r="F51" i="13" s="1"/>
  <c r="AK84" i="4"/>
  <c r="F54" i="13" s="1"/>
  <c r="AK76" i="4"/>
  <c r="F46" i="13" s="1"/>
  <c r="AI78" i="4"/>
  <c r="D48" i="13" s="1"/>
  <c r="AI84" i="4"/>
  <c r="D54" i="13" s="1"/>
  <c r="AI76" i="4"/>
  <c r="D46" i="13" s="1"/>
  <c r="AI83" i="4"/>
  <c r="D53" i="13" s="1"/>
  <c r="AI75" i="4"/>
  <c r="D45" i="13" s="1"/>
  <c r="AI77" i="4"/>
  <c r="D47" i="13" s="1"/>
  <c r="AI82" i="4"/>
  <c r="D52" i="13" s="1"/>
  <c r="AJ82" i="4"/>
  <c r="E52" i="13" s="1"/>
  <c r="AH79" i="4"/>
  <c r="C49" i="13" s="1"/>
  <c r="AG75" i="4"/>
  <c r="B45" i="13" s="1"/>
  <c r="AG74" i="4"/>
  <c r="B44" i="13" s="1"/>
  <c r="AG85" i="4"/>
  <c r="B55" i="13" s="1"/>
  <c r="AJ83" i="4"/>
  <c r="E53" i="13" s="1"/>
  <c r="AG77" i="4"/>
  <c r="B47" i="13" s="1"/>
  <c r="AJ79" i="4"/>
  <c r="E49" i="13" s="1"/>
  <c r="AH76" i="4"/>
  <c r="C46" i="13" s="1"/>
  <c r="AG79" i="4"/>
  <c r="B49" i="13" s="1"/>
  <c r="AH77" i="4"/>
  <c r="C47" i="13" s="1"/>
  <c r="AJ84" i="4"/>
  <c r="E54" i="13" s="1"/>
  <c r="AC92" i="4"/>
  <c r="F42" i="13"/>
  <c r="AJ81" i="4"/>
  <c r="E51" i="13" s="1"/>
  <c r="AH86" i="4"/>
  <c r="C56" i="13" s="1"/>
  <c r="AH85" i="4"/>
  <c r="C55" i="13" s="1"/>
  <c r="AJ80" i="4"/>
  <c r="E50" i="13" s="1"/>
  <c r="AC91" i="4"/>
  <c r="B42" i="13"/>
  <c r="AG82" i="4"/>
  <c r="B52" i="13" s="1"/>
  <c r="AH82" i="4"/>
  <c r="C52" i="13" s="1"/>
  <c r="AJ76" i="4"/>
  <c r="E46" i="13" s="1"/>
  <c r="C42" i="13"/>
  <c r="AG81" i="4"/>
  <c r="B51" i="13" s="1"/>
  <c r="AH81" i="4"/>
  <c r="C51" i="13" s="1"/>
  <c r="AJ75" i="4"/>
  <c r="E45" i="13" s="1"/>
  <c r="AC94" i="4"/>
  <c r="D42" i="13"/>
  <c r="AH84" i="4"/>
  <c r="C54" i="13" s="1"/>
  <c r="AG80" i="4"/>
  <c r="B50" i="13" s="1"/>
  <c r="AH78" i="4"/>
  <c r="C48" i="13" s="1"/>
  <c r="AJ74" i="4"/>
  <c r="E44" i="13" s="1"/>
  <c r="E42" i="13"/>
  <c r="H45" i="13"/>
  <c r="AB102" i="4"/>
  <c r="AB100" i="4"/>
  <c r="AB107" i="4"/>
  <c r="AB101" i="4"/>
  <c r="AC99" i="4"/>
  <c r="AC107" i="4"/>
  <c r="AB109" i="4"/>
  <c r="AC106" i="4"/>
  <c r="AB110" i="4"/>
  <c r="AB108" i="4"/>
  <c r="AC105" i="4"/>
  <c r="AC104" i="4"/>
  <c r="AB106" i="4"/>
  <c r="AC111" i="4"/>
  <c r="AC103" i="4"/>
  <c r="AB105" i="4"/>
  <c r="AC110" i="4"/>
  <c r="AC102" i="4"/>
  <c r="AB99" i="4"/>
  <c r="AB104" i="4"/>
  <c r="AC109" i="4"/>
  <c r="AC101" i="4"/>
  <c r="AB111" i="4"/>
  <c r="AB103" i="4"/>
  <c r="AC108" i="4"/>
  <c r="AJ86" i="4"/>
  <c r="E56" i="13" s="1"/>
  <c r="AJ78" i="4"/>
  <c r="E48" i="13" s="1"/>
  <c r="AJ85" i="4"/>
  <c r="E55" i="13" s="1"/>
  <c r="AJ77" i="4"/>
  <c r="E47" i="13" s="1"/>
  <c r="AH83" i="4"/>
  <c r="C53" i="13" s="1"/>
  <c r="AH75" i="4"/>
  <c r="C45" i="13" s="1"/>
  <c r="AH80" i="4"/>
  <c r="C50" i="13" s="1"/>
  <c r="AH74" i="4"/>
  <c r="C44" i="13" s="1"/>
  <c r="AG86" i="4"/>
  <c r="B56" i="13" s="1"/>
  <c r="AG78" i="4"/>
  <c r="B48" i="13" s="1"/>
  <c r="AG84" i="4"/>
  <c r="B54" i="13" s="1"/>
  <c r="AG76" i="4"/>
  <c r="B46" i="13" s="1"/>
  <c r="AG83" i="4"/>
  <c r="B53" i="13" s="1"/>
  <c r="I9" i="13" a="1"/>
  <c r="I9" i="13" s="1"/>
  <c r="I3" i="3"/>
  <c r="I3" i="2"/>
  <c r="H48" i="13" l="1"/>
  <c r="H56" i="13"/>
  <c r="H52" i="13"/>
  <c r="G54" i="13"/>
  <c r="AG109" i="4"/>
  <c r="G51" i="13"/>
  <c r="AG106" i="4"/>
  <c r="G49" i="13"/>
  <c r="AG104" i="4"/>
  <c r="H49" i="13"/>
  <c r="G46" i="13"/>
  <c r="AG101" i="4"/>
  <c r="H54" i="13"/>
  <c r="H50" i="13"/>
  <c r="G52" i="13"/>
  <c r="AG107" i="4"/>
  <c r="H44" i="13"/>
  <c r="H47" i="13"/>
  <c r="G53" i="13"/>
  <c r="AG108" i="4"/>
  <c r="H53" i="13"/>
  <c r="H55" i="13"/>
  <c r="G55" i="13"/>
  <c r="AG110" i="4"/>
  <c r="G47" i="13"/>
  <c r="AG102" i="4"/>
  <c r="G56" i="13"/>
  <c r="AG111" i="4"/>
  <c r="H46" i="13"/>
  <c r="G44" i="13"/>
  <c r="AG99" i="4"/>
  <c r="G45" i="13"/>
  <c r="AG100" i="4"/>
  <c r="G48" i="13"/>
  <c r="AG103" i="4"/>
  <c r="G50" i="13"/>
  <c r="AG105" i="4"/>
  <c r="H51" i="13"/>
  <c r="E24" i="1" l="1"/>
  <c r="E41" i="13" s="1"/>
  <c r="F24" i="1"/>
  <c r="F41" i="13" s="1"/>
  <c r="E9" i="3" l="1"/>
  <c r="A9" i="3"/>
  <c r="E7" i="3"/>
  <c r="A7" i="3"/>
  <c r="H5" i="3"/>
  <c r="E5" i="3"/>
  <c r="C5" i="3"/>
  <c r="A5" i="3"/>
  <c r="E9" i="2"/>
  <c r="A9" i="2"/>
  <c r="E7" i="2"/>
  <c r="A7" i="2"/>
  <c r="H5" i="2"/>
  <c r="E5" i="2"/>
  <c r="C5" i="2"/>
  <c r="A5" i="2"/>
  <c r="I3" i="1"/>
  <c r="E9" i="1" l="1"/>
  <c r="A9" i="1"/>
  <c r="E7" i="1"/>
  <c r="A7" i="1"/>
  <c r="H5" i="1"/>
  <c r="E5" i="1"/>
  <c r="C5" i="1"/>
  <c r="A5" i="1"/>
  <c r="B20" i="3"/>
  <c r="B19" i="3"/>
  <c r="B18" i="3"/>
  <c r="B17" i="3"/>
  <c r="B16" i="3"/>
  <c r="E26" i="11"/>
  <c r="E27" i="11"/>
  <c r="E28" i="11"/>
  <c r="E29" i="11"/>
  <c r="E30" i="11"/>
  <c r="F38" i="11"/>
  <c r="D11" i="11"/>
  <c r="D16" i="13" s="1"/>
  <c r="O11" i="11" l="1"/>
  <c r="O12" i="11"/>
  <c r="O13" i="11"/>
  <c r="O14" i="11"/>
  <c r="O10" i="11"/>
  <c r="Q46" i="11" l="1"/>
  <c r="Q47" i="11"/>
  <c r="Q48" i="11"/>
  <c r="P46" i="11"/>
  <c r="P47" i="11"/>
  <c r="P48" i="11"/>
  <c r="O46" i="11"/>
  <c r="O47" i="11"/>
  <c r="O48" i="11"/>
  <c r="Q45" i="11"/>
  <c r="P45" i="11"/>
  <c r="O45" i="11"/>
  <c r="P40" i="11"/>
  <c r="Q35" i="11"/>
  <c r="P35" i="11"/>
  <c r="O35" i="11"/>
  <c r="Q34" i="11"/>
  <c r="P34" i="11"/>
  <c r="O34" i="11"/>
  <c r="Q33" i="11"/>
  <c r="P33" i="11"/>
  <c r="O33" i="11"/>
  <c r="Q32" i="11"/>
  <c r="P32" i="11"/>
  <c r="O32" i="11"/>
  <c r="Q31" i="11"/>
  <c r="P31" i="11"/>
  <c r="O31" i="11"/>
  <c r="Q26" i="11"/>
  <c r="P26" i="11"/>
  <c r="R26" i="11" s="1"/>
  <c r="O26" i="11"/>
  <c r="Q25" i="11"/>
  <c r="P25" i="11"/>
  <c r="R25" i="11" s="1"/>
  <c r="O25" i="11"/>
  <c r="Q24" i="11"/>
  <c r="P24" i="11"/>
  <c r="R24" i="11" s="1"/>
  <c r="O24" i="11"/>
  <c r="Q23" i="11"/>
  <c r="P23" i="11"/>
  <c r="R23" i="11" s="1"/>
  <c r="O23" i="11"/>
  <c r="Q22" i="11"/>
  <c r="P22" i="11"/>
  <c r="R22" i="11" s="1"/>
  <c r="O22" i="11"/>
  <c r="S40" i="11" l="1"/>
  <c r="I88" i="9" s="1"/>
  <c r="G88" i="9"/>
  <c r="T24" i="11"/>
  <c r="C77" i="9" s="1"/>
  <c r="T23" i="11"/>
  <c r="C76" i="9" s="1"/>
  <c r="T26" i="11"/>
  <c r="C79" i="9" s="1"/>
  <c r="T22" i="11"/>
  <c r="C75" i="9" s="1"/>
  <c r="T25" i="11"/>
  <c r="C78" i="9" s="1"/>
  <c r="T46" i="11"/>
  <c r="I79" i="9" s="1"/>
  <c r="T48" i="11"/>
  <c r="I83" i="9" s="1"/>
  <c r="R47" i="11"/>
  <c r="G81" i="9" s="1"/>
  <c r="T45" i="11"/>
  <c r="I77" i="9" s="1"/>
  <c r="S47" i="11"/>
  <c r="H81" i="9" s="1"/>
  <c r="R45" i="11"/>
  <c r="G77" i="9" s="1"/>
  <c r="S45" i="11"/>
  <c r="H77" i="9" s="1"/>
  <c r="S48" i="11"/>
  <c r="H83" i="9" s="1"/>
  <c r="R46" i="11"/>
  <c r="G79" i="9" s="1"/>
  <c r="T47" i="11"/>
  <c r="I81" i="9" s="1"/>
  <c r="S46" i="11"/>
  <c r="H79" i="9" s="1"/>
  <c r="R48" i="11"/>
  <c r="G83" i="9" s="1"/>
  <c r="R35" i="11"/>
  <c r="C89" i="9" s="1"/>
  <c r="T35" i="11"/>
  <c r="E89" i="9" s="1"/>
  <c r="T34" i="11"/>
  <c r="E88" i="9" s="1"/>
  <c r="S34" i="11"/>
  <c r="D88" i="9" s="1"/>
  <c r="S33" i="11"/>
  <c r="D87" i="9" s="1"/>
  <c r="T33" i="11"/>
  <c r="E87" i="9" s="1"/>
  <c r="R33" i="11"/>
  <c r="C87" i="9" s="1"/>
  <c r="S32" i="11"/>
  <c r="D86" i="9" s="1"/>
  <c r="R32" i="11"/>
  <c r="C86" i="9" s="1"/>
  <c r="G101" i="9" s="1"/>
  <c r="T31" i="11"/>
  <c r="E85" i="9" s="1"/>
  <c r="R31" i="11"/>
  <c r="C85" i="9" s="1"/>
  <c r="T32" i="11"/>
  <c r="E86" i="9" s="1"/>
  <c r="S31" i="11"/>
  <c r="D85" i="9" s="1"/>
  <c r="S35" i="11"/>
  <c r="D89" i="9" s="1"/>
  <c r="R34" i="11"/>
  <c r="C88" i="9" s="1"/>
  <c r="S25" i="11"/>
  <c r="E78" i="9" s="1"/>
  <c r="S23" i="11"/>
  <c r="E76" i="9" s="1"/>
  <c r="S24" i="11"/>
  <c r="E77" i="9" s="1"/>
  <c r="S22" i="11"/>
  <c r="E75" i="9" s="1"/>
  <c r="S26" i="11"/>
  <c r="E79" i="9" s="1"/>
  <c r="G102" i="9" l="1"/>
  <c r="G103" i="9"/>
  <c r="G100" i="9"/>
  <c r="G104" i="9"/>
  <c r="D6" i="11"/>
  <c r="E22" i="9" s="1"/>
  <c r="D18" i="11"/>
  <c r="E33" i="11" s="1"/>
  <c r="H102" i="9" s="1"/>
  <c r="D19" i="11"/>
  <c r="E34" i="11" s="1"/>
  <c r="H103" i="9" s="1"/>
  <c r="D20" i="11"/>
  <c r="E35" i="11" s="1"/>
  <c r="H104" i="9" s="1"/>
  <c r="D17" i="11"/>
  <c r="E32" i="11" s="1"/>
  <c r="H101" i="9" s="1"/>
  <c r="C34" i="2"/>
  <c r="E17" i="11" l="1"/>
  <c r="E31" i="11" s="1"/>
  <c r="H100" i="9" s="1"/>
  <c r="I116" i="9" s="1"/>
  <c r="G43" i="11" l="1"/>
  <c r="F43" i="11"/>
  <c r="E43" i="11"/>
  <c r="D43" i="11"/>
  <c r="C43" i="11"/>
  <c r="AF58" i="4"/>
  <c r="G46" i="11" s="1"/>
  <c r="AF59" i="4"/>
  <c r="G47" i="11" s="1"/>
  <c r="AF60" i="4"/>
  <c r="G48" i="11" s="1"/>
  <c r="AF61" i="4"/>
  <c r="G49" i="11" s="1"/>
  <c r="AF62" i="4"/>
  <c r="G50" i="11" s="1"/>
  <c r="AF63" i="4"/>
  <c r="G51" i="11" s="1"/>
  <c r="AF64" i="4"/>
  <c r="G52" i="11" s="1"/>
  <c r="AF65" i="4"/>
  <c r="G53" i="11" s="1"/>
  <c r="AF66" i="4"/>
  <c r="G54" i="11" s="1"/>
  <c r="AF67" i="4"/>
  <c r="G55" i="11" s="1"/>
  <c r="AF68" i="4"/>
  <c r="G56" i="11" s="1"/>
  <c r="AF69" i="4"/>
  <c r="G57" i="11" s="1"/>
  <c r="AF57" i="4"/>
  <c r="G45" i="11" s="1"/>
  <c r="AE58" i="4"/>
  <c r="F46" i="11" s="1"/>
  <c r="AE59" i="4"/>
  <c r="F47" i="11" s="1"/>
  <c r="AE60" i="4"/>
  <c r="F48" i="11" s="1"/>
  <c r="AE61" i="4"/>
  <c r="F49" i="11" s="1"/>
  <c r="AE62" i="4"/>
  <c r="F50" i="11" s="1"/>
  <c r="AE63" i="4"/>
  <c r="F51" i="11" s="1"/>
  <c r="AE64" i="4"/>
  <c r="F52" i="11" s="1"/>
  <c r="AE65" i="4"/>
  <c r="F53" i="11" s="1"/>
  <c r="AE66" i="4"/>
  <c r="F54" i="11" s="1"/>
  <c r="AE67" i="4"/>
  <c r="F55" i="11" s="1"/>
  <c r="AE68" i="4"/>
  <c r="F56" i="11" s="1"/>
  <c r="AE69" i="4"/>
  <c r="F57" i="11" s="1"/>
  <c r="AE57" i="4"/>
  <c r="F45" i="11" s="1"/>
  <c r="AD58" i="4"/>
  <c r="AD59" i="4"/>
  <c r="AD60" i="4"/>
  <c r="AD61" i="4"/>
  <c r="AD62" i="4"/>
  <c r="AD63" i="4"/>
  <c r="AD64" i="4"/>
  <c r="AD65" i="4"/>
  <c r="AD66" i="4"/>
  <c r="AD67" i="4"/>
  <c r="AD68" i="4"/>
  <c r="AD69" i="4"/>
  <c r="AD57" i="4"/>
  <c r="AC58" i="4"/>
  <c r="D46" i="11" s="1"/>
  <c r="AC59" i="4"/>
  <c r="D47" i="11" s="1"/>
  <c r="AC60" i="4"/>
  <c r="D48" i="11" s="1"/>
  <c r="AC61" i="4"/>
  <c r="D49" i="11" s="1"/>
  <c r="AC62" i="4"/>
  <c r="D50" i="11" s="1"/>
  <c r="AC63" i="4"/>
  <c r="D51" i="11" s="1"/>
  <c r="AC64" i="4"/>
  <c r="D52" i="11" s="1"/>
  <c r="AC65" i="4"/>
  <c r="D53" i="11" s="1"/>
  <c r="AC66" i="4"/>
  <c r="D54" i="11" s="1"/>
  <c r="AC67" i="4"/>
  <c r="D55" i="11" s="1"/>
  <c r="AC68" i="4"/>
  <c r="D56" i="11" s="1"/>
  <c r="AC69" i="4"/>
  <c r="D57" i="11" s="1"/>
  <c r="AC57" i="4"/>
  <c r="D45" i="11" s="1"/>
  <c r="AB58" i="4"/>
  <c r="C46" i="11" s="1"/>
  <c r="AB59" i="4"/>
  <c r="C47" i="11" s="1"/>
  <c r="AB60" i="4"/>
  <c r="C48" i="11" s="1"/>
  <c r="AB61" i="4"/>
  <c r="C49" i="11" s="1"/>
  <c r="AB62" i="4"/>
  <c r="C50" i="11" s="1"/>
  <c r="AB63" i="4"/>
  <c r="C51" i="11" s="1"/>
  <c r="AB64" i="4"/>
  <c r="C52" i="11" s="1"/>
  <c r="AB65" i="4"/>
  <c r="C53" i="11" s="1"/>
  <c r="AB66" i="4"/>
  <c r="C54" i="11" s="1"/>
  <c r="AB67" i="4"/>
  <c r="C55" i="11" s="1"/>
  <c r="AB68" i="4"/>
  <c r="C56" i="11" s="1"/>
  <c r="AB69" i="4"/>
  <c r="C57" i="11" s="1"/>
  <c r="AB57" i="4"/>
  <c r="C45" i="11" s="1"/>
  <c r="E46" i="11" l="1"/>
  <c r="E52" i="11"/>
  <c r="E45" i="11"/>
  <c r="E47" i="11"/>
  <c r="E49" i="11"/>
  <c r="E51" i="11"/>
  <c r="E53" i="11"/>
  <c r="E55" i="11"/>
  <c r="E57" i="11"/>
  <c r="E48" i="11"/>
  <c r="E50" i="11"/>
  <c r="E54" i="11"/>
  <c r="E56" i="11"/>
  <c r="E80" i="9" l="1"/>
  <c r="F70" i="9"/>
  <c r="B70" i="9"/>
  <c r="F68" i="9"/>
  <c r="B68" i="9"/>
  <c r="H66" i="9"/>
  <c r="F66" i="9"/>
  <c r="D66" i="9"/>
  <c r="B66" i="9"/>
  <c r="E20" i="2"/>
  <c r="H106" i="9" l="1"/>
  <c r="D10" i="11"/>
  <c r="G8" i="11"/>
  <c r="H5" i="11"/>
  <c r="D7" i="11"/>
  <c r="D13" i="11"/>
  <c r="D12" i="11"/>
  <c r="E12" i="11" l="1"/>
  <c r="D18" i="13"/>
  <c r="I15" i="13"/>
  <c r="E13" i="11"/>
  <c r="H120" i="9" s="1"/>
  <c r="H18" i="11"/>
  <c r="G13" i="11"/>
  <c r="G21" i="11"/>
  <c r="H11" i="11"/>
  <c r="H19" i="11"/>
  <c r="G14" i="11"/>
  <c r="G22" i="11"/>
  <c r="H12" i="11"/>
  <c r="H20" i="11"/>
  <c r="G15" i="11"/>
  <c r="G11" i="11"/>
  <c r="H17" i="11"/>
  <c r="G10" i="11"/>
  <c r="H13" i="11"/>
  <c r="H21" i="11"/>
  <c r="G16" i="11"/>
  <c r="H14" i="11"/>
  <c r="H22" i="11"/>
  <c r="G17" i="11"/>
  <c r="H15" i="11"/>
  <c r="H10" i="11"/>
  <c r="G18" i="11"/>
  <c r="H16" i="11"/>
  <c r="G19" i="11"/>
  <c r="G12" i="11"/>
  <c r="G20" i="11"/>
  <c r="D27" i="3"/>
  <c r="G64" i="3" l="1"/>
  <c r="H61" i="3"/>
  <c r="G60" i="3"/>
  <c r="H52" i="3"/>
  <c r="H57" i="3"/>
  <c r="H59" i="3"/>
  <c r="H53" i="3"/>
  <c r="G53" i="3"/>
  <c r="G56" i="3"/>
  <c r="H64" i="3"/>
  <c r="G57" i="3"/>
  <c r="H63" i="3"/>
  <c r="G59" i="3"/>
  <c r="H56" i="3"/>
  <c r="H62" i="3"/>
  <c r="H60" i="3"/>
  <c r="H58" i="3"/>
  <c r="H55" i="3"/>
  <c r="G62" i="3"/>
  <c r="G61" i="3"/>
  <c r="H54" i="3"/>
  <c r="C118" i="9"/>
  <c r="G58" i="3"/>
  <c r="C112" i="9"/>
  <c r="G52" i="3"/>
  <c r="C123" i="9"/>
  <c r="G63" i="3"/>
  <c r="C114" i="9"/>
  <c r="G54" i="3"/>
  <c r="C115" i="9"/>
  <c r="G55" i="3"/>
  <c r="C117" i="9"/>
  <c r="C124" i="9"/>
  <c r="C116" i="9"/>
  <c r="C113" i="9"/>
  <c r="C120" i="9"/>
  <c r="C121" i="9"/>
  <c r="C122" i="9"/>
  <c r="C119" i="9"/>
  <c r="H122" i="9"/>
  <c r="H121" i="9"/>
  <c r="B114" i="9"/>
  <c r="B115" i="9"/>
  <c r="B116" i="9"/>
  <c r="B117" i="9"/>
  <c r="B118" i="9"/>
  <c r="B119" i="9"/>
  <c r="B120" i="9"/>
  <c r="B121" i="9"/>
  <c r="B122" i="9"/>
  <c r="B123" i="9"/>
  <c r="B124" i="9"/>
  <c r="B113" i="9"/>
  <c r="B112" i="9"/>
  <c r="AG50" i="4"/>
  <c r="C28" i="2" l="1"/>
  <c r="C27" i="2"/>
  <c r="E10" i="11" s="1"/>
  <c r="G38" i="11" l="1"/>
  <c r="K15" i="13" s="1"/>
  <c r="D17" i="13"/>
  <c r="I14" i="13" s="1"/>
  <c r="E37" i="11"/>
  <c r="C33" i="2"/>
  <c r="E11" i="11"/>
  <c r="I108" i="9" s="1"/>
  <c r="C31" i="3"/>
  <c r="D26" i="3" s="1"/>
  <c r="C32" i="2"/>
  <c r="B109" i="9"/>
  <c r="F37" i="11" l="1"/>
  <c r="G37" i="11" s="1"/>
  <c r="K14" i="13" s="1"/>
  <c r="H27" i="3"/>
  <c r="I106" i="9"/>
  <c r="D110" i="9"/>
  <c r="C110" i="9"/>
  <c r="U41" i="4" l="1"/>
  <c r="U42" i="4"/>
  <c r="U43" i="4"/>
  <c r="U44" i="4"/>
  <c r="U45" i="4"/>
  <c r="U46" i="4"/>
  <c r="U47" i="4"/>
  <c r="U48" i="4"/>
  <c r="U49" i="4"/>
  <c r="U50" i="4"/>
  <c r="U51" i="4"/>
  <c r="U52" i="4"/>
  <c r="U40" i="4"/>
  <c r="T41" i="4"/>
  <c r="T42" i="4"/>
  <c r="T43" i="4"/>
  <c r="T44" i="4"/>
  <c r="T45" i="4"/>
  <c r="T46" i="4"/>
  <c r="T47" i="4"/>
  <c r="T48" i="4"/>
  <c r="T49" i="4"/>
  <c r="T50" i="4"/>
  <c r="T51" i="4"/>
  <c r="T52" i="4"/>
  <c r="T40" i="4"/>
  <c r="R40" i="4"/>
  <c r="C33" i="3" l="1"/>
  <c r="AF11" i="4"/>
  <c r="AF12" i="4"/>
  <c r="AF13" i="4"/>
  <c r="AO13" i="4" s="1"/>
  <c r="AF14" i="4"/>
  <c r="AF15" i="4"/>
  <c r="AF16" i="4"/>
  <c r="AO16" i="4" s="1"/>
  <c r="AF17" i="4"/>
  <c r="AO17" i="4" s="1"/>
  <c r="AF18" i="4"/>
  <c r="AF19" i="4"/>
  <c r="AF20" i="4"/>
  <c r="AF21" i="4"/>
  <c r="AF10" i="4"/>
  <c r="AF9" i="4"/>
  <c r="AE11" i="4"/>
  <c r="AE12" i="4"/>
  <c r="AE13" i="4"/>
  <c r="AE14" i="4"/>
  <c r="AE15" i="4"/>
  <c r="AE16" i="4"/>
  <c r="AE17" i="4"/>
  <c r="AE18" i="4"/>
  <c r="AE19" i="4"/>
  <c r="AE20" i="4"/>
  <c r="AE21" i="4"/>
  <c r="AE10" i="4"/>
  <c r="AE9" i="4"/>
  <c r="AD11" i="4"/>
  <c r="AD12" i="4"/>
  <c r="AD13" i="4"/>
  <c r="AD14" i="4"/>
  <c r="AD15" i="4"/>
  <c r="AD16" i="4"/>
  <c r="AD17" i="4"/>
  <c r="AD18" i="4"/>
  <c r="AD19" i="4"/>
  <c r="AD20" i="4"/>
  <c r="AD21" i="4"/>
  <c r="AD10" i="4"/>
  <c r="AD9" i="4"/>
  <c r="AC11" i="4"/>
  <c r="AC12" i="4"/>
  <c r="AC13" i="4"/>
  <c r="AC14" i="4"/>
  <c r="AC15" i="4"/>
  <c r="AC16" i="4"/>
  <c r="AC17" i="4"/>
  <c r="AC18" i="4"/>
  <c r="AC19" i="4"/>
  <c r="AC20" i="4"/>
  <c r="AC21" i="4"/>
  <c r="AC10" i="4"/>
  <c r="AC9" i="4"/>
  <c r="AB9" i="4"/>
  <c r="AB14" i="4"/>
  <c r="AB15" i="4"/>
  <c r="AB16" i="4"/>
  <c r="AB17" i="4"/>
  <c r="AB18" i="4"/>
  <c r="AB19" i="4"/>
  <c r="AB20" i="4"/>
  <c r="AB21" i="4"/>
  <c r="AB13" i="4"/>
  <c r="AB12" i="4"/>
  <c r="AB11" i="4"/>
  <c r="AB10" i="4"/>
  <c r="AO10" i="4" l="1"/>
  <c r="AO14" i="4"/>
  <c r="AM18" i="4"/>
  <c r="AM10" i="4"/>
  <c r="AM16" i="4"/>
  <c r="AM15" i="4"/>
  <c r="AM20" i="4"/>
  <c r="AM11" i="4"/>
  <c r="AM17" i="4"/>
  <c r="AM9" i="4"/>
  <c r="AM13" i="4"/>
  <c r="AM19" i="4"/>
  <c r="AM14" i="4"/>
  <c r="AM12" i="4"/>
  <c r="AO9" i="4"/>
  <c r="AO20" i="4"/>
  <c r="AO12" i="4"/>
  <c r="AO19" i="4"/>
  <c r="AO11" i="4"/>
  <c r="AO18" i="4"/>
  <c r="AO15" i="4"/>
  <c r="AN18" i="4"/>
  <c r="AN10" i="4"/>
  <c r="AN13" i="4"/>
  <c r="AN19" i="4"/>
  <c r="AN17" i="4"/>
  <c r="AN9" i="4"/>
  <c r="AN16" i="4"/>
  <c r="AN20" i="4"/>
  <c r="AN15" i="4"/>
  <c r="AN12" i="4"/>
  <c r="AN14" i="4"/>
  <c r="AN11" i="4"/>
  <c r="L29" i="10"/>
  <c r="L30" i="10"/>
  <c r="L31" i="10"/>
  <c r="L32" i="10"/>
  <c r="L33" i="10"/>
  <c r="J1" i="10"/>
  <c r="L4" i="10"/>
  <c r="H4" i="10"/>
  <c r="E4" i="10"/>
  <c r="A4" i="10"/>
  <c r="A6" i="10"/>
  <c r="A8" i="10"/>
  <c r="K19" i="10"/>
  <c r="I19" i="10"/>
  <c r="G18" i="10"/>
  <c r="K18" i="10"/>
  <c r="K17" i="10"/>
  <c r="I17" i="10"/>
  <c r="I18" i="10" s="1"/>
  <c r="S40" i="4"/>
  <c r="S41" i="4"/>
  <c r="S42" i="4"/>
  <c r="S43" i="4"/>
  <c r="S44" i="4"/>
  <c r="S45" i="4"/>
  <c r="S46" i="4"/>
  <c r="S47" i="4"/>
  <c r="S48" i="4"/>
  <c r="S49" i="4"/>
  <c r="S50" i="4"/>
  <c r="S51" i="4"/>
  <c r="S52" i="4"/>
  <c r="R51" i="4"/>
  <c r="R52" i="4"/>
  <c r="R41" i="4"/>
  <c r="R42" i="4"/>
  <c r="R43" i="4"/>
  <c r="R44" i="4"/>
  <c r="R45" i="4"/>
  <c r="R46" i="4"/>
  <c r="R47" i="4"/>
  <c r="R48" i="4"/>
  <c r="R49" i="4"/>
  <c r="R50" i="4"/>
  <c r="AM21" i="4" l="1"/>
  <c r="AN21" i="4"/>
  <c r="AP15" i="4"/>
  <c r="AP12" i="4"/>
  <c r="AP9" i="4"/>
  <c r="AP11" i="4"/>
  <c r="AP13" i="4"/>
  <c r="AP14" i="4"/>
  <c r="AP10" i="4"/>
  <c r="F23" i="1"/>
  <c r="E23" i="1"/>
  <c r="D23" i="1"/>
  <c r="C23" i="1"/>
  <c r="B23" i="1"/>
  <c r="I13" i="1" l="1"/>
  <c r="O5" i="11" s="1"/>
  <c r="P5" i="11" s="1"/>
  <c r="I14" i="1"/>
  <c r="O6" i="11" s="1"/>
  <c r="P6" i="11" s="1"/>
  <c r="I15" i="1"/>
  <c r="O7" i="11" s="1"/>
  <c r="P7" i="11" s="1"/>
  <c r="I16" i="1"/>
  <c r="O8" i="11" s="1"/>
  <c r="P8" i="11" s="1"/>
  <c r="I17" i="1"/>
  <c r="O9" i="11" s="1"/>
  <c r="P9" i="11" s="1"/>
  <c r="D30" i="11" l="1"/>
  <c r="F30" i="11" s="1"/>
  <c r="G30" i="11" s="1"/>
  <c r="I99" i="9" s="1"/>
  <c r="F13" i="13"/>
  <c r="AD95" i="4" s="1"/>
  <c r="G13" i="13" s="1"/>
  <c r="D28" i="11"/>
  <c r="F28" i="11" s="1"/>
  <c r="G28" i="11" s="1"/>
  <c r="I97" i="9" s="1"/>
  <c r="F11" i="13"/>
  <c r="AD93" i="4" s="1"/>
  <c r="G11" i="13" s="1"/>
  <c r="D29" i="11"/>
  <c r="F29" i="11" s="1"/>
  <c r="G29" i="11" s="1"/>
  <c r="I98" i="9" s="1"/>
  <c r="F12" i="13"/>
  <c r="AD94" i="4" s="1"/>
  <c r="G12" i="13" s="1"/>
  <c r="D27" i="11"/>
  <c r="F27" i="11" s="1"/>
  <c r="F10" i="13"/>
  <c r="AD92" i="4" s="1"/>
  <c r="G10" i="13" s="1"/>
  <c r="D26" i="11"/>
  <c r="F26" i="11" s="1"/>
  <c r="G26" i="11" s="1"/>
  <c r="I95" i="9" s="1"/>
  <c r="F9" i="13"/>
  <c r="AD91" i="4" s="1"/>
  <c r="G9" i="13" s="1"/>
  <c r="G19" i="3"/>
  <c r="G17" i="3"/>
  <c r="G20" i="3"/>
  <c r="G18" i="3"/>
  <c r="G16" i="3"/>
  <c r="D26" i="4"/>
  <c r="D27" i="4"/>
  <c r="O27" i="4" s="1"/>
  <c r="E27" i="4"/>
  <c r="D28" i="4"/>
  <c r="E28" i="4"/>
  <c r="D29" i="4"/>
  <c r="O29" i="4" s="1"/>
  <c r="E29" i="4"/>
  <c r="D30" i="4"/>
  <c r="E30" i="4"/>
  <c r="D31" i="4"/>
  <c r="E31" i="4"/>
  <c r="O31" i="4"/>
  <c r="D32" i="4"/>
  <c r="E32" i="4"/>
  <c r="D33" i="4"/>
  <c r="E33" i="4"/>
  <c r="O33" i="4"/>
  <c r="D34" i="4"/>
  <c r="E34" i="4"/>
  <c r="D35" i="4"/>
  <c r="O35" i="4" s="1"/>
  <c r="E35" i="4"/>
  <c r="D36" i="4"/>
  <c r="E36" i="4"/>
  <c r="D37" i="4"/>
  <c r="O37" i="4" s="1"/>
  <c r="E37" i="4"/>
  <c r="D38" i="4"/>
  <c r="E38" i="4"/>
  <c r="D39" i="4"/>
  <c r="O39" i="4" s="1"/>
  <c r="E39" i="4"/>
  <c r="D24" i="1"/>
  <c r="D41" i="13" s="1"/>
  <c r="C24" i="1"/>
  <c r="C41" i="13" s="1"/>
  <c r="B24" i="1"/>
  <c r="B41" i="13" s="1"/>
  <c r="G27" i="11" l="1"/>
  <c r="I96" i="9" s="1"/>
  <c r="H19" i="3"/>
  <c r="F49" i="3"/>
  <c r="C49" i="3"/>
  <c r="D49" i="3"/>
  <c r="E49" i="3"/>
  <c r="B49" i="3"/>
  <c r="B22" i="3"/>
  <c r="B23" i="3"/>
  <c r="B24" i="3"/>
  <c r="B25" i="3"/>
  <c r="B21" i="3"/>
  <c r="H17" i="3" l="1"/>
  <c r="H20" i="3"/>
  <c r="H18" i="3"/>
  <c r="H16" i="3"/>
  <c r="B41" i="2" l="1"/>
  <c r="D25" i="3" l="1"/>
  <c r="P14" i="11" s="1"/>
  <c r="J13" i="13" s="1"/>
  <c r="D24" i="3"/>
  <c r="D22" i="3"/>
  <c r="D23" i="3"/>
  <c r="D35" i="11" l="1"/>
  <c r="F35" i="11" s="1"/>
  <c r="G35" i="11"/>
  <c r="P11" i="11"/>
  <c r="J10" i="13" s="1"/>
  <c r="P12" i="11"/>
  <c r="J11" i="13" s="1"/>
  <c r="P13" i="11"/>
  <c r="J12" i="13" s="1"/>
  <c r="G25" i="3"/>
  <c r="D21" i="3" a="1"/>
  <c r="D21" i="3" s="1"/>
  <c r="P10" i="11" s="1"/>
  <c r="J6" i="6"/>
  <c r="J35" i="10"/>
  <c r="M21" i="10" s="1"/>
  <c r="D31" i="11" l="1"/>
  <c r="F31" i="11" s="1"/>
  <c r="G31" i="11" s="1"/>
  <c r="K9" i="13" s="1"/>
  <c r="J9" i="13"/>
  <c r="I104" i="9"/>
  <c r="K13" i="13"/>
  <c r="D32" i="11"/>
  <c r="F32" i="11" s="1"/>
  <c r="G32" i="11" s="1"/>
  <c r="D33" i="11"/>
  <c r="F33" i="11" s="1"/>
  <c r="G33" i="11" s="1"/>
  <c r="D34" i="11"/>
  <c r="F34" i="11" s="1"/>
  <c r="G34" i="11"/>
  <c r="G21" i="3"/>
  <c r="G22" i="3"/>
  <c r="G24" i="3"/>
  <c r="G23" i="3"/>
  <c r="C38" i="3"/>
  <c r="AH9" i="4"/>
  <c r="AC28" i="4"/>
  <c r="AC29" i="4"/>
  <c r="AC30" i="4"/>
  <c r="AC31" i="4"/>
  <c r="AC27" i="4"/>
  <c r="AJ9" i="4" l="1"/>
  <c r="AJ15" i="4"/>
  <c r="I100" i="9"/>
  <c r="I102" i="9"/>
  <c r="K11" i="13"/>
  <c r="I101" i="9"/>
  <c r="K10" i="13"/>
  <c r="K16" i="13" s="1"/>
  <c r="I103" i="9"/>
  <c r="K12" i="13"/>
  <c r="H21" i="3"/>
  <c r="AJ16" i="4"/>
  <c r="AJ20" i="4"/>
  <c r="AJ17" i="4"/>
  <c r="AJ10" i="4"/>
  <c r="AJ14" i="4"/>
  <c r="AJ18" i="4"/>
  <c r="AJ11" i="4"/>
  <c r="AJ19" i="4"/>
  <c r="AJ12" i="4"/>
  <c r="AJ13" i="4"/>
  <c r="AC32" i="4"/>
  <c r="AI19" i="4"/>
  <c r="AI14" i="4"/>
  <c r="AI13" i="4"/>
  <c r="AI12" i="4"/>
  <c r="AI18" i="4"/>
  <c r="AI11" i="4"/>
  <c r="AH15" i="4"/>
  <c r="AH16" i="4"/>
  <c r="AH14" i="4"/>
  <c r="AH13" i="4"/>
  <c r="AI16" i="4"/>
  <c r="AI20" i="4"/>
  <c r="AI10" i="4"/>
  <c r="AI17" i="4"/>
  <c r="AI9" i="4"/>
  <c r="AI15" i="4"/>
  <c r="AH10" i="4"/>
  <c r="AH18" i="4"/>
  <c r="AH11" i="4"/>
  <c r="AH19" i="4"/>
  <c r="AH12" i="4"/>
  <c r="AH20" i="4"/>
  <c r="AH17" i="4"/>
  <c r="AE35" i="4" l="1"/>
  <c r="AK20" i="4"/>
  <c r="AK19" i="4"/>
  <c r="AK11" i="4"/>
  <c r="AK17" i="4"/>
  <c r="AK13" i="4"/>
  <c r="AK18" i="4"/>
  <c r="AK10" i="4"/>
  <c r="AK9" i="4"/>
  <c r="AK16" i="4"/>
  <c r="AK15" i="4"/>
  <c r="AK14" i="4"/>
  <c r="AK12" i="4"/>
  <c r="AI21" i="4"/>
  <c r="C41" i="1" s="1"/>
  <c r="AE37" i="4"/>
  <c r="E44" i="11" s="1"/>
  <c r="J44" i="11" s="1"/>
  <c r="AE36" i="4"/>
  <c r="AE39" i="4"/>
  <c r="G44" i="11" s="1"/>
  <c r="L44" i="11" s="1"/>
  <c r="AE38" i="4"/>
  <c r="AH21" i="4"/>
  <c r="C40" i="1" s="1"/>
  <c r="AP16" i="4" l="1"/>
  <c r="AP20" i="4"/>
  <c r="AP18" i="4"/>
  <c r="AP17" i="4"/>
  <c r="AP19" i="4"/>
  <c r="D44" i="11"/>
  <c r="I44" i="11" s="1"/>
  <c r="C44" i="11"/>
  <c r="H44" i="11" s="1"/>
  <c r="AL81" i="4"/>
  <c r="AL83" i="4"/>
  <c r="AL86" i="4"/>
  <c r="F44" i="11"/>
  <c r="K44" i="11" s="1"/>
  <c r="AI64" i="4"/>
  <c r="AI60" i="4"/>
  <c r="AI63" i="4"/>
  <c r="AI67" i="4"/>
  <c r="AI65" i="4"/>
  <c r="AI61" i="4"/>
  <c r="AI69" i="4"/>
  <c r="AI68" i="4"/>
  <c r="AI66" i="4"/>
  <c r="AI59" i="4"/>
  <c r="AI57" i="4"/>
  <c r="AI62" i="4"/>
  <c r="AI58" i="4"/>
  <c r="AH64" i="4"/>
  <c r="AH65" i="4"/>
  <c r="AH58" i="4"/>
  <c r="AH66" i="4"/>
  <c r="AH59" i="4"/>
  <c r="AH67" i="4"/>
  <c r="AH60" i="4"/>
  <c r="AH68" i="4"/>
  <c r="AH61" i="4"/>
  <c r="AH69" i="4"/>
  <c r="AH62" i="4"/>
  <c r="AH57" i="4"/>
  <c r="AH63" i="4"/>
  <c r="AJ61" i="4"/>
  <c r="AJ69" i="4"/>
  <c r="AJ62" i="4"/>
  <c r="AJ57" i="4"/>
  <c r="AJ63" i="4"/>
  <c r="AJ64" i="4"/>
  <c r="AJ65" i="4"/>
  <c r="AJ58" i="4"/>
  <c r="AJ66" i="4"/>
  <c r="AJ59" i="4"/>
  <c r="AJ67" i="4"/>
  <c r="AJ60" i="4"/>
  <c r="AJ68" i="4"/>
  <c r="AK58" i="4"/>
  <c r="AK66" i="4"/>
  <c r="AK59" i="4"/>
  <c r="AK67" i="4"/>
  <c r="AK60" i="4"/>
  <c r="AK68" i="4"/>
  <c r="AK61" i="4"/>
  <c r="AK69" i="4"/>
  <c r="AK62" i="4"/>
  <c r="AK57" i="4"/>
  <c r="AK63" i="4"/>
  <c r="AK64" i="4"/>
  <c r="AK65" i="4"/>
  <c r="AG59" i="4"/>
  <c r="AG67" i="4"/>
  <c r="AG60" i="4"/>
  <c r="AG68" i="4"/>
  <c r="AG61" i="4"/>
  <c r="AG69" i="4"/>
  <c r="AG62" i="4"/>
  <c r="AG57" i="4"/>
  <c r="AG63" i="4"/>
  <c r="AG64" i="4"/>
  <c r="AG65" i="4"/>
  <c r="AG58" i="4"/>
  <c r="AG66" i="4"/>
  <c r="P12" i="6"/>
  <c r="P13" i="6"/>
  <c r="P14" i="6"/>
  <c r="P15" i="6"/>
  <c r="P11" i="6"/>
  <c r="AK21" i="4"/>
  <c r="AE40" i="4"/>
  <c r="AE41" i="4"/>
  <c r="AP21" i="4" l="1"/>
  <c r="F57" i="13" s="1"/>
  <c r="AD108" i="4"/>
  <c r="I53" i="13"/>
  <c r="J53" i="13" s="1"/>
  <c r="I56" i="13"/>
  <c r="J56" i="13" s="1"/>
  <c r="AD111" i="4"/>
  <c r="AD106" i="4"/>
  <c r="I51" i="13"/>
  <c r="J51" i="13" s="1"/>
  <c r="AL74" i="4"/>
  <c r="AL84" i="4"/>
  <c r="AL77" i="4"/>
  <c r="AL79" i="4"/>
  <c r="AL75" i="4"/>
  <c r="AL78" i="4"/>
  <c r="AL85" i="4"/>
  <c r="AL76" i="4"/>
  <c r="F65" i="3"/>
  <c r="AL80" i="4"/>
  <c r="AL82" i="4"/>
  <c r="J55" i="11"/>
  <c r="J49" i="11"/>
  <c r="J57" i="11"/>
  <c r="J50" i="11"/>
  <c r="J51" i="11"/>
  <c r="J52" i="11"/>
  <c r="J53" i="11"/>
  <c r="J56" i="11"/>
  <c r="J46" i="11"/>
  <c r="J54" i="11"/>
  <c r="J47" i="11"/>
  <c r="J48" i="11"/>
  <c r="AL59" i="4"/>
  <c r="AL68" i="4"/>
  <c r="AL67" i="4"/>
  <c r="AL60" i="4"/>
  <c r="AL58" i="4"/>
  <c r="AL65" i="4"/>
  <c r="AL69" i="4"/>
  <c r="AL64" i="4"/>
  <c r="AL57" i="4"/>
  <c r="AL66" i="4"/>
  <c r="AL62" i="4"/>
  <c r="AL61" i="4"/>
  <c r="AL63" i="4"/>
  <c r="I54" i="13" l="1"/>
  <c r="J54" i="13" s="1"/>
  <c r="AD109" i="4"/>
  <c r="AD100" i="4"/>
  <c r="I45" i="13"/>
  <c r="J45" i="13" s="1"/>
  <c r="I44" i="13"/>
  <c r="J44" i="13" s="1"/>
  <c r="AD99" i="4"/>
  <c r="I46" i="13"/>
  <c r="J46" i="13" s="1"/>
  <c r="AD101" i="4"/>
  <c r="AE106" i="4"/>
  <c r="AF106" i="4"/>
  <c r="AH106" i="4"/>
  <c r="AI106" i="4" s="1"/>
  <c r="I48" i="13"/>
  <c r="J48" i="13" s="1"/>
  <c r="AD103" i="4"/>
  <c r="AD107" i="4"/>
  <c r="I52" i="13"/>
  <c r="J52" i="13" s="1"/>
  <c r="I55" i="13"/>
  <c r="J55" i="13" s="1"/>
  <c r="AD110" i="4"/>
  <c r="AE111" i="4"/>
  <c r="AF111" i="4"/>
  <c r="AH111" i="4"/>
  <c r="AI111" i="4" s="1"/>
  <c r="I49" i="13"/>
  <c r="J49" i="13" s="1"/>
  <c r="AD104" i="4"/>
  <c r="I50" i="13"/>
  <c r="J50" i="13" s="1"/>
  <c r="AD105" i="4"/>
  <c r="I47" i="13"/>
  <c r="J47" i="13" s="1"/>
  <c r="AD102" i="4"/>
  <c r="AE108" i="4"/>
  <c r="AF108" i="4"/>
  <c r="AH108" i="4"/>
  <c r="AI108" i="4" s="1"/>
  <c r="D59" i="3"/>
  <c r="D58" i="3"/>
  <c r="D63" i="3"/>
  <c r="D57" i="3"/>
  <c r="D64" i="3"/>
  <c r="D54" i="3"/>
  <c r="D61" i="3"/>
  <c r="D56" i="3"/>
  <c r="D60" i="3"/>
  <c r="D55" i="3"/>
  <c r="D53" i="3"/>
  <c r="D62" i="3"/>
  <c r="O13" i="6"/>
  <c r="O11" i="6"/>
  <c r="AD31" i="4"/>
  <c r="O12" i="6"/>
  <c r="O14" i="6"/>
  <c r="O15" i="6"/>
  <c r="AE105" i="4" l="1"/>
  <c r="AF105" i="4"/>
  <c r="AH105" i="4"/>
  <c r="AI105" i="4" s="1"/>
  <c r="AE107" i="4"/>
  <c r="AF107" i="4"/>
  <c r="AH107" i="4"/>
  <c r="AI107" i="4" s="1"/>
  <c r="AF103" i="4"/>
  <c r="AE103" i="4"/>
  <c r="AH103" i="4"/>
  <c r="AI103" i="4" s="1"/>
  <c r="AE99" i="4"/>
  <c r="AF99" i="4"/>
  <c r="AH99" i="4"/>
  <c r="AI99" i="4" s="1"/>
  <c r="AF100" i="4"/>
  <c r="AE100" i="4"/>
  <c r="AH100" i="4"/>
  <c r="AI100" i="4" s="1"/>
  <c r="AF102" i="4"/>
  <c r="AE102" i="4"/>
  <c r="AH102" i="4"/>
  <c r="AI102" i="4" s="1"/>
  <c r="AF109" i="4"/>
  <c r="AE109" i="4"/>
  <c r="AH109" i="4"/>
  <c r="AI109" i="4" s="1"/>
  <c r="AF101" i="4"/>
  <c r="AE101" i="4"/>
  <c r="AH101" i="4"/>
  <c r="AI101" i="4" s="1"/>
  <c r="AE104" i="4"/>
  <c r="AF104" i="4"/>
  <c r="AH104" i="4"/>
  <c r="AI104" i="4" s="1"/>
  <c r="AF110" i="4"/>
  <c r="AE110" i="4"/>
  <c r="AH110" i="4"/>
  <c r="AI110" i="4" s="1"/>
  <c r="AD28" i="4"/>
  <c r="AI112" i="4" l="1"/>
  <c r="P10" i="13" s="1"/>
  <c r="AE112" i="4"/>
  <c r="P12" i="13" s="1"/>
  <c r="E8" i="10"/>
  <c r="E6" i="10"/>
  <c r="L11" i="10"/>
  <c r="L10" i="10"/>
  <c r="L12" i="10" l="1"/>
  <c r="K21" i="10"/>
  <c r="G20" i="10"/>
  <c r="K20" i="10"/>
  <c r="I20" i="10"/>
  <c r="M20" i="10" l="1"/>
  <c r="K22" i="10"/>
  <c r="G21" i="10"/>
  <c r="I21" i="10"/>
  <c r="I22" i="10" s="1"/>
  <c r="G22" i="10" l="1"/>
  <c r="M22" i="10" s="1"/>
  <c r="E39" i="10" s="1"/>
  <c r="AD27" i="4" l="1"/>
  <c r="AD30" i="4" l="1"/>
  <c r="AD29" i="4" l="1"/>
  <c r="C59" i="4" l="1"/>
  <c r="O6" i="4"/>
  <c r="G9" i="4" s="1"/>
  <c r="D21" i="4"/>
  <c r="D20" i="4"/>
  <c r="D19" i="4"/>
  <c r="D18" i="4"/>
  <c r="D17" i="4"/>
  <c r="D16" i="4"/>
  <c r="D15" i="4"/>
  <c r="D14" i="4"/>
  <c r="D13" i="4"/>
  <c r="D12" i="4"/>
  <c r="D11" i="4"/>
  <c r="C21" i="4"/>
  <c r="C20" i="4"/>
  <c r="C19" i="4"/>
  <c r="C18" i="4"/>
  <c r="C17" i="4"/>
  <c r="C16" i="4"/>
  <c r="C15" i="4"/>
  <c r="C14" i="4"/>
  <c r="C13" i="4"/>
  <c r="C12" i="4"/>
  <c r="C11" i="4"/>
  <c r="D10" i="4"/>
  <c r="C10" i="4"/>
  <c r="D9" i="4"/>
  <c r="C9" i="4"/>
  <c r="F7" i="4"/>
  <c r="E7" i="4"/>
  <c r="D7" i="4"/>
  <c r="C7" i="4"/>
  <c r="E5" i="4"/>
  <c r="D5" i="4"/>
  <c r="C5" i="4"/>
  <c r="A20" i="3"/>
  <c r="A19" i="3"/>
  <c r="A18" i="3"/>
  <c r="A17" i="3"/>
  <c r="A16" i="3"/>
  <c r="A22" i="3"/>
  <c r="A21" i="3"/>
  <c r="L71" i="4" l="1"/>
  <c r="L70" i="4"/>
  <c r="L69" i="4"/>
  <c r="L68" i="4"/>
  <c r="L67" i="4"/>
  <c r="D67" i="4"/>
  <c r="L66" i="4"/>
  <c r="I66" i="4"/>
  <c r="D54" i="4"/>
  <c r="D53" i="4"/>
  <c r="D52" i="4"/>
  <c r="D51" i="4"/>
  <c r="E20" i="4"/>
  <c r="E18" i="4"/>
  <c r="E17" i="4"/>
  <c r="E14" i="4"/>
  <c r="G5" i="4"/>
  <c r="H22" i="1"/>
  <c r="AE30" i="4" l="1"/>
  <c r="AE29" i="4"/>
  <c r="AE31" i="4"/>
  <c r="AE27" i="4"/>
  <c r="AE28" i="4"/>
  <c r="E13" i="4"/>
  <c r="G62" i="4"/>
  <c r="D63" i="4"/>
  <c r="M64" i="4"/>
  <c r="E11" i="4"/>
  <c r="M67" i="4"/>
  <c r="E10" i="4"/>
  <c r="E21" i="4"/>
  <c r="E67" i="4"/>
  <c r="E15" i="4"/>
  <c r="E19" i="4"/>
  <c r="M70" i="4"/>
  <c r="E12" i="4"/>
  <c r="E16" i="4"/>
  <c r="D62" i="4"/>
  <c r="D61" i="4" s="1"/>
  <c r="E9" i="4"/>
  <c r="J22" i="1"/>
  <c r="D66" i="4"/>
  <c r="E66" i="4" s="1"/>
  <c r="D64" i="4" s="1"/>
  <c r="D68" i="4"/>
  <c r="E68" i="4" s="1"/>
  <c r="G63" i="4" s="1"/>
  <c r="H62" i="4" s="1"/>
  <c r="G10" i="4"/>
  <c r="O19" i="4" l="1"/>
  <c r="N16" i="4"/>
  <c r="N14" i="4"/>
  <c r="C32" i="3"/>
  <c r="AH37" i="4"/>
  <c r="AH28" i="4"/>
  <c r="AH33" i="4"/>
  <c r="AH30" i="4"/>
  <c r="AH36" i="4"/>
  <c r="AH29" i="4"/>
  <c r="AH35" i="4"/>
  <c r="AH27" i="4"/>
  <c r="AH26" i="4"/>
  <c r="AI26" i="4" s="1"/>
  <c r="AJ26" i="4" s="1"/>
  <c r="C46" i="6" s="1"/>
  <c r="D46" i="6" s="1"/>
  <c r="AH34" i="4"/>
  <c r="AH32" i="4"/>
  <c r="AH38" i="4"/>
  <c r="AH31" i="4"/>
  <c r="N20" i="4"/>
  <c r="N18" i="4"/>
  <c r="AE32" i="4"/>
  <c r="AB36" i="4" s="1"/>
  <c r="N15" i="4"/>
  <c r="O14" i="4"/>
  <c r="O15" i="4"/>
  <c r="P19" i="4"/>
  <c r="G19" i="4" s="1"/>
  <c r="P17" i="4"/>
  <c r="G17" i="4" s="1"/>
  <c r="O18" i="4"/>
  <c r="E63" i="4"/>
  <c r="P15" i="4"/>
  <c r="G15" i="4" s="1"/>
  <c r="P11" i="4"/>
  <c r="G11" i="4" s="1"/>
  <c r="P13" i="4"/>
  <c r="G13" i="4" s="1"/>
  <c r="N19" i="4"/>
  <c r="P16" i="4"/>
  <c r="G16" i="4" s="1"/>
  <c r="O16" i="4"/>
  <c r="O12" i="4"/>
  <c r="P12" i="4"/>
  <c r="G12" i="4" s="1"/>
  <c r="O17" i="4"/>
  <c r="O21" i="4"/>
  <c r="N17" i="4"/>
  <c r="N21" i="4"/>
  <c r="P20" i="4"/>
  <c r="G20" i="4" s="1"/>
  <c r="O20" i="4"/>
  <c r="O13" i="4"/>
  <c r="N13" i="4"/>
  <c r="P21" i="4"/>
  <c r="G21" i="4" s="1"/>
  <c r="P14" i="4"/>
  <c r="G14" i="4" s="1"/>
  <c r="P18" i="4"/>
  <c r="G18" i="4" s="1"/>
  <c r="F11" i="4"/>
  <c r="F17" i="4"/>
  <c r="F18" i="4"/>
  <c r="F13" i="4"/>
  <c r="F19" i="4"/>
  <c r="F9" i="4"/>
  <c r="H9" i="4" s="1"/>
  <c r="I9" i="4" s="1"/>
  <c r="F10" i="4"/>
  <c r="H10" i="4" s="1"/>
  <c r="I10" i="4" s="1"/>
  <c r="F12" i="4"/>
  <c r="F21" i="4"/>
  <c r="F16" i="4"/>
  <c r="F20" i="4"/>
  <c r="F14" i="4"/>
  <c r="F15" i="4"/>
  <c r="E62" i="4"/>
  <c r="AI38" i="4" l="1"/>
  <c r="AJ38" i="4" s="1"/>
  <c r="C58" i="6" s="1"/>
  <c r="D58" i="6" s="1"/>
  <c r="AI37" i="4"/>
  <c r="AJ37" i="4" s="1"/>
  <c r="C57" i="6" s="1"/>
  <c r="D57" i="6" s="1"/>
  <c r="AI29" i="4"/>
  <c r="AJ29" i="4" s="1"/>
  <c r="C49" i="6" s="1"/>
  <c r="D49" i="6" s="1"/>
  <c r="AI30" i="4"/>
  <c r="AJ30" i="4" s="1"/>
  <c r="C50" i="6" s="1"/>
  <c r="D50" i="6" s="1"/>
  <c r="AI34" i="4"/>
  <c r="AJ34" i="4" s="1"/>
  <c r="C54" i="6" s="1"/>
  <c r="D54" i="6" s="1"/>
  <c r="AI27" i="4"/>
  <c r="AI36" i="4"/>
  <c r="AJ36" i="4" s="1"/>
  <c r="C56" i="6" s="1"/>
  <c r="D56" i="6" s="1"/>
  <c r="AI35" i="4"/>
  <c r="AJ35" i="4" s="1"/>
  <c r="C55" i="6" s="1"/>
  <c r="AB35" i="4"/>
  <c r="AB38" i="4"/>
  <c r="AB37" i="4"/>
  <c r="AB39" i="4"/>
  <c r="AI32" i="4"/>
  <c r="AJ32" i="4" s="1"/>
  <c r="C52" i="6" s="1"/>
  <c r="D52" i="6" s="1"/>
  <c r="AI33" i="4"/>
  <c r="AJ33" i="4" s="1"/>
  <c r="C53" i="6" s="1"/>
  <c r="AI28" i="4"/>
  <c r="AJ28" i="4" s="1"/>
  <c r="C48" i="6" s="1"/>
  <c r="D48" i="6" s="1"/>
  <c r="AI31" i="4"/>
  <c r="AJ31" i="4" s="1"/>
  <c r="C51" i="6" s="1"/>
  <c r="D51" i="6" s="1"/>
  <c r="H19" i="4"/>
  <c r="I19" i="4" s="1"/>
  <c r="H15" i="4"/>
  <c r="I15" i="4" s="1"/>
  <c r="H17" i="4"/>
  <c r="I17" i="4" s="1"/>
  <c r="H11" i="4"/>
  <c r="I11" i="4" s="1"/>
  <c r="H21" i="4"/>
  <c r="I21" i="4" s="1"/>
  <c r="H13" i="4"/>
  <c r="I13" i="4" s="1"/>
  <c r="H14" i="4"/>
  <c r="I14" i="4" s="1"/>
  <c r="H16" i="4"/>
  <c r="I16" i="4" s="1"/>
  <c r="H12" i="4"/>
  <c r="I12" i="4" s="1"/>
  <c r="H20" i="4"/>
  <c r="I20" i="4" s="1"/>
  <c r="H18" i="4"/>
  <c r="I18" i="4" s="1"/>
  <c r="L45" i="6" l="1"/>
  <c r="M45" i="6" s="1"/>
  <c r="D55" i="6"/>
  <c r="D53" i="6"/>
  <c r="L47" i="6"/>
  <c r="M47" i="6" s="1"/>
  <c r="AJ27" i="4"/>
  <c r="C47" i="6" s="1"/>
  <c r="D47" i="6" s="1"/>
  <c r="AB41" i="4"/>
  <c r="AB40" i="4"/>
  <c r="I22" i="4"/>
  <c r="H22" i="4"/>
  <c r="D28" i="3" l="1"/>
  <c r="B45" i="2"/>
  <c r="I109" i="9" s="1"/>
  <c r="I105" i="9" l="1"/>
  <c r="H26" i="3"/>
  <c r="H22" i="3" l="1"/>
  <c r="H23" i="3" l="1"/>
  <c r="H24" i="3" l="1"/>
  <c r="H25" i="3" l="1"/>
  <c r="H28" i="3" s="1"/>
  <c r="C34" i="3" l="1"/>
  <c r="AA53" i="4"/>
  <c r="H105" i="9" s="1"/>
  <c r="C37" i="3"/>
  <c r="H6" i="11"/>
  <c r="H43" i="11" s="1"/>
  <c r="C35" i="3"/>
  <c r="C36" i="3"/>
  <c r="J45" i="11" l="1"/>
  <c r="L43" i="11"/>
  <c r="H99" i="9" s="1"/>
  <c r="I107" i="9"/>
  <c r="J43" i="11"/>
  <c r="H97" i="9" s="1"/>
  <c r="I43" i="11"/>
  <c r="H96" i="9" s="1"/>
  <c r="K43" i="11"/>
  <c r="H98" i="9" s="1"/>
  <c r="D52" i="3" l="1"/>
  <c r="H52" i="11"/>
  <c r="H47" i="11"/>
  <c r="H48" i="11"/>
  <c r="H56" i="11"/>
  <c r="H49" i="11"/>
  <c r="H57" i="11"/>
  <c r="H50" i="11"/>
  <c r="H45" i="11"/>
  <c r="H53" i="11"/>
  <c r="H46" i="11"/>
  <c r="H51" i="11"/>
  <c r="H54" i="11"/>
  <c r="H55" i="11"/>
  <c r="L49" i="11"/>
  <c r="L57" i="11"/>
  <c r="L50" i="11"/>
  <c r="L45" i="11"/>
  <c r="L51" i="11"/>
  <c r="L53" i="11"/>
  <c r="L46" i="11"/>
  <c r="L47" i="11"/>
  <c r="L55" i="11"/>
  <c r="L48" i="11"/>
  <c r="L54" i="11"/>
  <c r="L56" i="11"/>
  <c r="L52" i="11"/>
  <c r="K53" i="11"/>
  <c r="K46" i="11"/>
  <c r="K54" i="11"/>
  <c r="K47" i="11"/>
  <c r="K55" i="11"/>
  <c r="K45" i="11"/>
  <c r="K49" i="11"/>
  <c r="K57" i="11"/>
  <c r="K50" i="11"/>
  <c r="K51" i="11"/>
  <c r="K48" i="11"/>
  <c r="K56" i="11"/>
  <c r="K52" i="11"/>
  <c r="I47" i="11"/>
  <c r="I49" i="11"/>
  <c r="I57" i="11"/>
  <c r="I50" i="11"/>
  <c r="I51" i="11"/>
  <c r="I53" i="11"/>
  <c r="I45" i="11"/>
  <c r="I46" i="11"/>
  <c r="I54" i="11"/>
  <c r="I55" i="11"/>
  <c r="I56" i="11"/>
  <c r="I52" i="11"/>
  <c r="I48" i="11"/>
  <c r="F20" i="3"/>
  <c r="F50" i="3"/>
  <c r="M43" i="11"/>
  <c r="H95" i="9"/>
  <c r="M44" i="11"/>
  <c r="F16" i="3"/>
  <c r="B50" i="3"/>
  <c r="F17" i="3"/>
  <c r="C50" i="3"/>
  <c r="F19" i="3"/>
  <c r="E50" i="3"/>
  <c r="F18" i="3"/>
  <c r="D50" i="3"/>
  <c r="E63" i="3" l="1"/>
  <c r="E54" i="3"/>
  <c r="F62" i="3"/>
  <c r="F56" i="3"/>
  <c r="E55" i="3"/>
  <c r="E61" i="3"/>
  <c r="F54" i="3"/>
  <c r="C55" i="3"/>
  <c r="C58" i="3"/>
  <c r="E58" i="3"/>
  <c r="E53" i="3"/>
  <c r="F53" i="3"/>
  <c r="C52" i="3"/>
  <c r="C57" i="3"/>
  <c r="E57" i="3"/>
  <c r="E60" i="3"/>
  <c r="F60" i="3"/>
  <c r="C63" i="3"/>
  <c r="C64" i="3"/>
  <c r="E64" i="3"/>
  <c r="F59" i="3"/>
  <c r="F58" i="3"/>
  <c r="C60" i="3"/>
  <c r="C56" i="3"/>
  <c r="E56" i="3"/>
  <c r="F63" i="3"/>
  <c r="F52" i="3"/>
  <c r="C62" i="3"/>
  <c r="C61" i="3"/>
  <c r="C54" i="3"/>
  <c r="E52" i="3"/>
  <c r="F61" i="3"/>
  <c r="F57" i="3"/>
  <c r="C59" i="3"/>
  <c r="C53" i="3"/>
  <c r="E59" i="3"/>
  <c r="E62" i="3"/>
  <c r="F55" i="3"/>
  <c r="F64" i="3"/>
  <c r="B52" i="3"/>
  <c r="M45" i="11"/>
  <c r="I10" i="11" s="1"/>
  <c r="B64" i="3"/>
  <c r="M57" i="11"/>
  <c r="I22" i="11" s="1"/>
  <c r="B62" i="3"/>
  <c r="M55" i="11"/>
  <c r="I20" i="11" s="1"/>
  <c r="B56" i="3"/>
  <c r="M49" i="11"/>
  <c r="I14" i="11" s="1"/>
  <c r="M54" i="11"/>
  <c r="I19" i="11" s="1"/>
  <c r="B61" i="3"/>
  <c r="B63" i="3"/>
  <c r="M56" i="11"/>
  <c r="I21" i="11" s="1"/>
  <c r="M51" i="11"/>
  <c r="I16" i="11" s="1"/>
  <c r="B58" i="3"/>
  <c r="M48" i="11"/>
  <c r="I13" i="11" s="1"/>
  <c r="B55" i="3"/>
  <c r="B57" i="3"/>
  <c r="M50" i="11"/>
  <c r="I15" i="11" s="1"/>
  <c r="B53" i="3"/>
  <c r="M46" i="11"/>
  <c r="I11" i="11" s="1"/>
  <c r="B54" i="3"/>
  <c r="M47" i="11"/>
  <c r="I12" i="11" s="1"/>
  <c r="B60" i="3"/>
  <c r="M53" i="11"/>
  <c r="I18" i="11" s="1"/>
  <c r="M52" i="11"/>
  <c r="I17" i="11" s="1"/>
  <c r="B59" i="3"/>
  <c r="D120" i="9" l="1"/>
  <c r="I60" i="3"/>
  <c r="M22" i="6" s="1"/>
  <c r="N22" i="6" s="1"/>
  <c r="J18" i="11"/>
  <c r="I56" i="3"/>
  <c r="M18" i="6" s="1"/>
  <c r="N18" i="6" s="1"/>
  <c r="D116" i="9"/>
  <c r="J14" i="11"/>
  <c r="D115" i="9"/>
  <c r="I55" i="3"/>
  <c r="M17" i="6" s="1"/>
  <c r="N17" i="6" s="1"/>
  <c r="J13" i="11"/>
  <c r="D114" i="9"/>
  <c r="I54" i="3"/>
  <c r="M16" i="6" s="1"/>
  <c r="N16" i="6" s="1"/>
  <c r="J12" i="11"/>
  <c r="D122" i="9"/>
  <c r="I62" i="3"/>
  <c r="M24" i="6" s="1"/>
  <c r="N24" i="6" s="1"/>
  <c r="J20" i="11"/>
  <c r="D118" i="9"/>
  <c r="I58" i="3"/>
  <c r="M20" i="6" s="1"/>
  <c r="N20" i="6" s="1"/>
  <c r="J16" i="11"/>
  <c r="D113" i="9"/>
  <c r="I53" i="3"/>
  <c r="M15" i="6" s="1"/>
  <c r="N15" i="6" s="1"/>
  <c r="J11" i="11"/>
  <c r="D123" i="9"/>
  <c r="I63" i="3"/>
  <c r="M25" i="6" s="1"/>
  <c r="N25" i="6" s="1"/>
  <c r="J21" i="11"/>
  <c r="I64" i="3"/>
  <c r="M26" i="6" s="1"/>
  <c r="N26" i="6" s="1"/>
  <c r="D124" i="9"/>
  <c r="J22" i="11"/>
  <c r="I57" i="3"/>
  <c r="M19" i="6" s="1"/>
  <c r="N19" i="6" s="1"/>
  <c r="D117" i="9"/>
  <c r="J15" i="11"/>
  <c r="D112" i="9"/>
  <c r="I52" i="3"/>
  <c r="M14" i="6" s="1"/>
  <c r="N14" i="6" s="1"/>
  <c r="J10" i="11"/>
  <c r="I59" i="3"/>
  <c r="M21" i="6" s="1"/>
  <c r="D119" i="9"/>
  <c r="J17" i="11"/>
  <c r="I61" i="3"/>
  <c r="M23" i="6" s="1"/>
  <c r="N23" i="6" s="1"/>
  <c r="D121" i="9"/>
  <c r="J19" i="11"/>
  <c r="J64" i="3" l="1"/>
  <c r="J63" i="3"/>
  <c r="E124" i="9"/>
  <c r="J57" i="3"/>
  <c r="E118" i="9"/>
  <c r="J56" i="3"/>
  <c r="E117" i="9"/>
  <c r="J52" i="3"/>
  <c r="E112" i="9"/>
  <c r="E113" i="9"/>
  <c r="E114" i="9"/>
  <c r="J53" i="3"/>
  <c r="J61" i="3"/>
  <c r="E122" i="9"/>
  <c r="J62" i="3"/>
  <c r="E123" i="9"/>
  <c r="E120" i="9"/>
  <c r="J59" i="3"/>
  <c r="J54" i="3"/>
  <c r="E115" i="9"/>
  <c r="J60" i="3"/>
  <c r="E121" i="9"/>
  <c r="N21" i="6"/>
  <c r="J4" i="6" s="1"/>
  <c r="J5" i="6"/>
  <c r="J7" i="6" s="1"/>
  <c r="J58" i="3"/>
  <c r="E119" i="9"/>
  <c r="J55" i="3"/>
  <c r="E11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B20" authorId="0" shapeId="0" xr:uid="{E369120F-E8B4-4B09-9D2C-E7EA85607F73}">
      <text>
        <r>
          <rPr>
            <b/>
            <sz val="9"/>
            <color indexed="81"/>
            <rFont val="Tahoma"/>
            <family val="2"/>
          </rPr>
          <t>Contains helpful notes.</t>
        </r>
      </text>
    </comment>
    <comment ref="B21" authorId="0" shapeId="0" xr:uid="{9D3AA20A-3AF4-4A13-BFB4-650B6014E8E4}">
      <text>
        <r>
          <rPr>
            <b/>
            <sz val="9"/>
            <color indexed="81"/>
            <rFont val="Tahoma"/>
            <family val="2"/>
          </rPr>
          <t>Contains helpful notes.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B13" authorId="0" shapeId="0" xr:uid="{85BE9B4E-E5E4-4445-A749-DA62D5005627}">
      <text>
        <r>
          <rPr>
            <b/>
            <sz val="9"/>
            <color indexed="81"/>
            <rFont val="Tahoma"/>
            <family val="2"/>
          </rPr>
          <t>Contains helpful notes.</t>
        </r>
      </text>
    </comment>
    <comment ref="B14" authorId="0" shapeId="0" xr:uid="{820BCE5C-EE89-46C8-81F2-5CDC18919B86}">
      <text>
        <r>
          <rPr>
            <b/>
            <sz val="9"/>
            <color indexed="81"/>
            <rFont val="Tahoma"/>
            <family val="2"/>
          </rPr>
          <t>Contains helpful notes.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G38" authorId="0" shapeId="0" xr:uid="{836BD75D-0FB9-42B1-A605-39AFCB9C7026}">
      <text>
        <r>
          <rPr>
            <b/>
            <sz val="9"/>
            <color indexed="81"/>
            <rFont val="Tahoma"/>
            <family val="2"/>
          </rPr>
          <t xml:space="preserve">NOTE: </t>
        </r>
        <r>
          <rPr>
            <sz val="9"/>
            <color indexed="81"/>
            <rFont val="Tahoma"/>
            <family val="2"/>
          </rPr>
          <t>Range for additional cement: 95 - 280 lbs/cy
No input required for Type III cement.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B12" authorId="0" shapeId="0" xr:uid="{F48FE605-5D22-4947-A035-2B0A05F587CC}">
      <text>
        <r>
          <rPr>
            <b/>
            <sz val="12"/>
            <color indexed="81"/>
            <rFont val="Tahoma"/>
            <family val="2"/>
          </rPr>
          <t xml:space="preserve">NOTE:
</t>
        </r>
        <r>
          <rPr>
            <sz val="12"/>
            <color indexed="81"/>
            <rFont val="Tahoma"/>
            <family val="2"/>
          </rPr>
          <t>Please use the following abbreviations when possible:</t>
        </r>
        <r>
          <rPr>
            <b/>
            <sz val="9"/>
            <color indexed="81"/>
            <rFont val="Tahoma"/>
            <family val="2"/>
          </rPr>
          <t xml:space="preserve">
</t>
        </r>
        <r>
          <rPr>
            <sz val="11"/>
            <color indexed="81"/>
            <rFont val="Tahoma"/>
            <family val="2"/>
          </rPr>
          <t xml:space="preserve">
Buzzi Unicem USA --&gt; Buzzi
Continental Cement Company --&gt; Contin. Cement
LaFarge/Holcim Company --&gt; LaFarge/Holcim
Lehigh Cement Company --&gt; Lehigh Cement</t>
        </r>
        <r>
          <rPr>
            <b/>
            <sz val="9"/>
            <color indexed="81"/>
            <rFont val="Tahoma"/>
            <family val="2"/>
          </rPr>
          <t xml:space="preserve">
</t>
        </r>
      </text>
    </comment>
    <comment ref="E13" authorId="0" shapeId="0" xr:uid="{9E983DA1-ECBE-43B5-83DC-7D07A97CD3EA}">
      <text>
        <r>
          <rPr>
            <b/>
            <sz val="12"/>
            <color indexed="81"/>
            <rFont val="Tahoma"/>
            <family val="2"/>
          </rPr>
          <t xml:space="preserve">NOTE: </t>
        </r>
        <r>
          <rPr>
            <sz val="12"/>
            <color indexed="81"/>
            <rFont val="Tahoma"/>
            <family val="2"/>
          </rPr>
          <t>Cement S.G can be found on the Mill Certification. Use 3.15 if not reported.</t>
        </r>
        <r>
          <rPr>
            <b/>
            <sz val="9"/>
            <color indexed="81"/>
            <rFont val="Tahoma"/>
            <family val="2"/>
          </rPr>
          <t xml:space="preserve">
</t>
        </r>
      </text>
    </comment>
    <comment ref="A24" authorId="0" shapeId="0" xr:uid="{A6DA3005-5DF4-453B-92FE-CC72044347F8}">
      <text>
        <r>
          <rPr>
            <b/>
            <u/>
            <sz val="12"/>
            <color indexed="81"/>
            <rFont val="Tahoma"/>
            <family val="2"/>
          </rPr>
          <t>NOTE:</t>
        </r>
        <r>
          <rPr>
            <sz val="12"/>
            <color indexed="81"/>
            <rFont val="Tahoma"/>
            <family val="2"/>
          </rPr>
          <t xml:space="preserve"> It is the responsibility of the user to select the appropriate Concrete Grade and Concrete Class for the project.</t>
        </r>
      </text>
    </comment>
    <comment ref="F44" authorId="0" shapeId="0" xr:uid="{0267F7EA-E3A7-4A0F-9BA6-71E9BE2FC6F7}">
      <text>
        <r>
          <rPr>
            <b/>
            <sz val="12"/>
            <color indexed="81"/>
            <rFont val="Tahoma"/>
            <family val="2"/>
          </rPr>
          <t xml:space="preserve">NOTE: </t>
        </r>
        <r>
          <rPr>
            <sz val="12"/>
            <color indexed="81"/>
            <rFont val="Tahoma"/>
            <family val="2"/>
          </rPr>
          <t>This number can be found in Atwood Systems.
Test prefix is 131.
Only needed for well or surface water sources.</t>
        </r>
      </text>
    </comment>
    <comment ref="D48" authorId="0" shapeId="0" xr:uid="{4A6E4D44-FAF4-4769-82EA-B4A91A9408EF}">
      <text>
        <r>
          <rPr>
            <b/>
            <sz val="12"/>
            <color indexed="81"/>
            <rFont val="Tahoma"/>
            <family val="2"/>
          </rPr>
          <t>NOTE:</t>
        </r>
        <r>
          <rPr>
            <sz val="12"/>
            <color indexed="81"/>
            <rFont val="Tahoma"/>
            <family val="2"/>
          </rPr>
          <t xml:space="preserve"> For air entraining admixtures, use AE.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D14" authorId="0" shapeId="0" xr:uid="{9E60A6AB-F5E7-4EB8-9843-84574DEAD045}">
      <text>
        <r>
          <rPr>
            <sz val="12"/>
            <color indexed="81"/>
            <rFont val="Tahoma"/>
            <family val="2"/>
          </rPr>
          <t>Input a guess total aggregate weight: 2700 - 3500 lbs.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tc={A9E2C766-CAB9-4CEF-B364-28A9D999E338}</author>
    <author>tc={0D1BA076-0590-472E-B243-A46D31BBB014}</author>
  </authors>
  <commentList>
    <comment ref="G45" authorId="0" shapeId="0" xr:uid="{A9E2C766-CAB9-4CEF-B364-28A9D999E338}">
      <text>
        <t>[Threaded comment]
Your version of Excel allows you to read this threaded comment; however, any edits to it will get removed if the file is opened in a newer version of Excel. Learn more: https://go.microsoft.com/fwlink/?linkid=870924
Comment:
    The amount needed for workability</t>
      </text>
    </comment>
    <comment ref="G47" authorId="1" shapeId="0" xr:uid="{0D1BA076-0590-472E-B243-A46D31BBB014}">
      <text>
        <t>[Threaded comment]
Your version of Excel allows you to read this threaded comment; however, any edits to it will get removed if the file is opened in a newer version of Excel. Learn more: https://go.microsoft.com/fwlink/?linkid=870924
Comment:
    Amount needed for cohesion</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tc={B501AFB0-96D3-4400-A3AA-A3CC07712981}</author>
  </authors>
  <commentList>
    <comment ref="AD46" authorId="0" shapeId="0" xr:uid="{B501AFB0-96D3-4400-A3AA-A3CC07712981}">
      <text>
        <t>[Threaded comment]
Your version of Excel allows you to read this threaded comment; however, any edits to it will get removed if the file is opened in a newer version of Excel. Learn more: https://go.microsoft.com/fwlink/?linkid=870924
Comment:
    For Barrier and Pavements: Max. w/cm = 0.42
For Structures and Ancillary: Max. w/cm = 0.45</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<sst xmlns="http://schemas.openxmlformats.org/spreadsheetml/2006/main" count="1545" uniqueCount="692">
  <si>
    <t>Computation cells are locked</t>
  </si>
  <si>
    <t>Solver</t>
  </si>
  <si>
    <t xml:space="preserve"> </t>
  </si>
  <si>
    <t>GENERAL INSTRUCTIONS PRIOR TO USING THIS SPREADSHEET</t>
  </si>
  <si>
    <t>1)</t>
  </si>
  <si>
    <t>Upon downloading and opening the spreadsheet select Enable Editing if you get a protected view warning.</t>
  </si>
  <si>
    <t>2)</t>
  </si>
  <si>
    <t>If you do not have the Excel Solver Add-in active on your machine you will need to  enable it by selecting: file, options, Add-ins and enable the Solver Add-in.</t>
  </si>
  <si>
    <t>3)</t>
  </si>
  <si>
    <t>Save the spreadsheet on your local computer.</t>
  </si>
  <si>
    <t>4)</t>
  </si>
  <si>
    <t>Close the spreadsheet</t>
  </si>
  <si>
    <t>5)</t>
  </si>
  <si>
    <t>Reopen the saved spreadsheet.</t>
  </si>
  <si>
    <t>Date</t>
  </si>
  <si>
    <t>Project Information</t>
  </si>
  <si>
    <t>Construction Project ID</t>
  </si>
  <si>
    <t>Contract ID</t>
  </si>
  <si>
    <t>Highway</t>
  </si>
  <si>
    <t>County</t>
  </si>
  <si>
    <t>Project Title</t>
  </si>
  <si>
    <t>Project Limits</t>
  </si>
  <si>
    <t>Prime Contractor</t>
  </si>
  <si>
    <t>Subcontractor (if applicable)</t>
  </si>
  <si>
    <t>Type</t>
  </si>
  <si>
    <t>Description</t>
  </si>
  <si>
    <t>S.G. (OD)</t>
  </si>
  <si>
    <t>S.G. (SSD)</t>
  </si>
  <si>
    <t>SIEVE ANALYSIS DATA</t>
  </si>
  <si>
    <t>Coarse</t>
  </si>
  <si>
    <t>Fine</t>
  </si>
  <si>
    <t>Sieve:</t>
  </si>
  <si>
    <t>% Pass</t>
  </si>
  <si>
    <t>%</t>
  </si>
  <si>
    <t>2"</t>
  </si>
  <si>
    <t>1 1/2"</t>
  </si>
  <si>
    <t>1"</t>
  </si>
  <si>
    <t>3/4"</t>
  </si>
  <si>
    <t>1/2"</t>
  </si>
  <si>
    <t>3/8"</t>
  </si>
  <si>
    <t># 4</t>
  </si>
  <si>
    <t># 8</t>
  </si>
  <si>
    <t># 16</t>
  </si>
  <si>
    <t># 30</t>
  </si>
  <si>
    <t># 50</t>
  </si>
  <si>
    <t># 100</t>
  </si>
  <si>
    <t># 200</t>
  </si>
  <si>
    <t>Sieves Retained on</t>
  </si>
  <si>
    <t>Limit</t>
  </si>
  <si>
    <t>Mix Retained (%)</t>
  </si>
  <si>
    <t>Results</t>
  </si>
  <si>
    <t>#30 - #200</t>
  </si>
  <si>
    <t>#8, #16, and #30</t>
  </si>
  <si>
    <t>&gt;15%</t>
  </si>
  <si>
    <t>Sieve Size</t>
  </si>
  <si>
    <t>Spec Defined % Retained</t>
  </si>
  <si>
    <t>≤5</t>
  </si>
  <si>
    <t>≤16</t>
  </si>
  <si>
    <t>≤20</t>
  </si>
  <si>
    <t xml:space="preserve"> 4-20</t>
  </si>
  <si>
    <t>≤12</t>
  </si>
  <si>
    <t>≤10</t>
  </si>
  <si>
    <t>Manufacturer</t>
  </si>
  <si>
    <t>Source</t>
  </si>
  <si>
    <t>Type/Class/Grade:</t>
  </si>
  <si>
    <t>Specific Gravity (S.G.)</t>
  </si>
  <si>
    <t>Cement</t>
  </si>
  <si>
    <t>Fly Ash</t>
  </si>
  <si>
    <t xml:space="preserve">Slag </t>
  </si>
  <si>
    <t>w/cm</t>
  </si>
  <si>
    <t>Slag</t>
  </si>
  <si>
    <t>WATER</t>
  </si>
  <si>
    <t>Gal</t>
  </si>
  <si>
    <t>Water</t>
  </si>
  <si>
    <t>ADMIXTURE</t>
  </si>
  <si>
    <t>Name</t>
  </si>
  <si>
    <t>MIXTURE PROPORTIONS</t>
  </si>
  <si>
    <t>Material</t>
  </si>
  <si>
    <t>TOTAL</t>
  </si>
  <si>
    <t>Cementitious</t>
  </si>
  <si>
    <t>Power 45  Optimize</t>
  </si>
  <si>
    <t>Intermediate</t>
  </si>
  <si>
    <t>Total</t>
  </si>
  <si>
    <t>Ideal</t>
  </si>
  <si>
    <t>Least difference</t>
  </si>
  <si>
    <t>mm</t>
  </si>
  <si>
    <t>^45</t>
  </si>
  <si>
    <t>Mixture</t>
  </si>
  <si>
    <t>Haystack Limits</t>
  </si>
  <si>
    <t>C33</t>
  </si>
  <si>
    <t>Pumping curve</t>
  </si>
  <si>
    <t>Illinois Tollway</t>
  </si>
  <si>
    <t>Tick marks</t>
  </si>
  <si>
    <t>Tarantula</t>
  </si>
  <si>
    <t>Lower</t>
  </si>
  <si>
    <t>Upper</t>
  </si>
  <si>
    <t>3"</t>
  </si>
  <si>
    <t>1-1/2"</t>
  </si>
  <si>
    <t>Shilstone zones</t>
  </si>
  <si>
    <t>line 1</t>
  </si>
  <si>
    <t>line 2</t>
  </si>
  <si>
    <t>line 3</t>
  </si>
  <si>
    <t>line 4</t>
  </si>
  <si>
    <t>^45 lines</t>
  </si>
  <si>
    <t>Max size</t>
  </si>
  <si>
    <t>Max agg size</t>
  </si>
  <si>
    <t>Mix Type:</t>
  </si>
  <si>
    <t>Maximum Nominal Aggregate Size:</t>
  </si>
  <si>
    <t>Unit Weight By :</t>
  </si>
  <si>
    <t>Rodding</t>
  </si>
  <si>
    <t>Moisture Condition at Time of Test:</t>
  </si>
  <si>
    <t>Oven Dry</t>
  </si>
  <si>
    <t>Wt. of Sample and Container, lbs (A)</t>
  </si>
  <si>
    <t>Weight of Sample, lbs (A-B)</t>
  </si>
  <si>
    <t>Container Volume, cf (C)</t>
  </si>
  <si>
    <t>Avg.</t>
  </si>
  <si>
    <t>Dry Rodded Unit Weight, pcf (D)</t>
  </si>
  <si>
    <t>Avg. Agg. Bulk Specific Gravity (E)</t>
  </si>
  <si>
    <t>Void Content (%)</t>
  </si>
  <si>
    <t>Dry Rodded Unit Weight (D) =</t>
  </si>
  <si>
    <t>A-B</t>
  </si>
  <si>
    <t>(nearest 0.1 pcf)</t>
  </si>
  <si>
    <t>C</t>
  </si>
  <si>
    <t>Avg. Aggregate Specific Gravity (E)=</t>
  </si>
  <si>
    <r>
      <t>P</t>
    </r>
    <r>
      <rPr>
        <vertAlign val="subscript"/>
        <sz val="12"/>
        <rFont val="Times New Roman"/>
        <family val="1"/>
      </rPr>
      <t>1</t>
    </r>
  </si>
  <si>
    <t>=</t>
  </si>
  <si>
    <t>+</t>
  </si>
  <si>
    <r>
      <t>P</t>
    </r>
    <r>
      <rPr>
        <vertAlign val="subscript"/>
        <sz val="12"/>
        <rFont val="Times New Roman"/>
        <family val="1"/>
      </rPr>
      <t>2</t>
    </r>
  </si>
  <si>
    <r>
      <t>P</t>
    </r>
    <r>
      <rPr>
        <i/>
        <vertAlign val="subscript"/>
        <sz val="12"/>
        <rFont val="Times New Roman"/>
        <family val="1"/>
      </rPr>
      <t>n</t>
    </r>
  </si>
  <si>
    <t>(ASTM: C128/ AASHTO T85)</t>
  </si>
  <si>
    <r>
      <t>100G</t>
    </r>
    <r>
      <rPr>
        <vertAlign val="subscript"/>
        <sz val="12"/>
        <rFont val="Times New Roman"/>
        <family val="1"/>
      </rPr>
      <t>1</t>
    </r>
  </si>
  <si>
    <r>
      <t>100G</t>
    </r>
    <r>
      <rPr>
        <vertAlign val="subscript"/>
        <sz val="12"/>
        <rFont val="Times New Roman"/>
        <family val="1"/>
      </rPr>
      <t>2</t>
    </r>
  </si>
  <si>
    <r>
      <t>100G</t>
    </r>
    <r>
      <rPr>
        <i/>
        <vertAlign val="subscript"/>
        <sz val="12"/>
        <rFont val="Times New Roman"/>
        <family val="1"/>
      </rPr>
      <t>n</t>
    </r>
  </si>
  <si>
    <r>
      <t>P</t>
    </r>
    <r>
      <rPr>
        <vertAlign val="subscript"/>
        <sz val="12"/>
        <rFont val="Times New Roman"/>
        <family val="1"/>
      </rPr>
      <t>3</t>
    </r>
  </si>
  <si>
    <t>Where:</t>
  </si>
  <si>
    <r>
      <t>G</t>
    </r>
    <r>
      <rPr>
        <vertAlign val="subscript"/>
        <sz val="12"/>
        <rFont val="Times New Roman"/>
        <family val="1"/>
      </rPr>
      <t>1</t>
    </r>
  </si>
  <si>
    <r>
      <t>P</t>
    </r>
    <r>
      <rPr>
        <vertAlign val="subscript"/>
        <sz val="12"/>
        <rFont val="Times New Roman"/>
        <family val="1"/>
      </rPr>
      <t>1</t>
    </r>
    <r>
      <rPr>
        <sz val="12"/>
        <rFont val="Times New Roman"/>
        <family val="1"/>
      </rPr>
      <t>, P</t>
    </r>
    <r>
      <rPr>
        <vertAlign val="subscript"/>
        <sz val="12"/>
        <rFont val="Times New Roman"/>
        <family val="1"/>
      </rPr>
      <t>2</t>
    </r>
    <r>
      <rPr>
        <sz val="12"/>
        <rFont val="Times New Roman"/>
        <family val="1"/>
      </rPr>
      <t>, . . .P</t>
    </r>
    <r>
      <rPr>
        <i/>
        <vertAlign val="subscript"/>
        <sz val="12"/>
        <rFont val="Times New Roman"/>
        <family val="1"/>
      </rPr>
      <t>n</t>
    </r>
    <r>
      <rPr>
        <sz val="12"/>
        <rFont val="Times New Roman"/>
        <family val="1"/>
      </rPr>
      <t xml:space="preserve"> =</t>
    </r>
  </si>
  <si>
    <t>percentage of each aggregate in the mix</t>
  </si>
  <si>
    <r>
      <t>G</t>
    </r>
    <r>
      <rPr>
        <vertAlign val="subscript"/>
        <sz val="12"/>
        <rFont val="Times New Roman"/>
        <family val="1"/>
      </rPr>
      <t>2</t>
    </r>
  </si>
  <si>
    <r>
      <t>G</t>
    </r>
    <r>
      <rPr>
        <vertAlign val="subscript"/>
        <sz val="12"/>
        <rFont val="Times New Roman"/>
        <family val="1"/>
      </rPr>
      <t>1</t>
    </r>
    <r>
      <rPr>
        <sz val="12"/>
        <rFont val="Times New Roman"/>
        <family val="1"/>
      </rPr>
      <t>, G</t>
    </r>
    <r>
      <rPr>
        <vertAlign val="subscript"/>
        <sz val="12"/>
        <rFont val="Times New Roman"/>
        <family val="1"/>
      </rPr>
      <t>2</t>
    </r>
    <r>
      <rPr>
        <sz val="12"/>
        <rFont val="Times New Roman"/>
        <family val="1"/>
      </rPr>
      <t>, . . .G</t>
    </r>
    <r>
      <rPr>
        <i/>
        <vertAlign val="subscript"/>
        <sz val="12"/>
        <rFont val="Times New Roman"/>
        <family val="1"/>
      </rPr>
      <t>n</t>
    </r>
    <r>
      <rPr>
        <sz val="12"/>
        <rFont val="Times New Roman"/>
        <family val="1"/>
      </rPr>
      <t xml:space="preserve"> =</t>
    </r>
  </si>
  <si>
    <t>appropriate Bulk SG of each aggregate in the mix</t>
  </si>
  <si>
    <r>
      <t>G</t>
    </r>
    <r>
      <rPr>
        <vertAlign val="subscript"/>
        <sz val="12"/>
        <rFont val="Times New Roman"/>
        <family val="1"/>
      </rPr>
      <t>3</t>
    </r>
  </si>
  <si>
    <t>Avg. Aggregate Specific Gravity (E) =</t>
  </si>
  <si>
    <t>Void Content =</t>
  </si>
  <si>
    <t>100 [(E x 62.3) - D]</t>
  </si>
  <si>
    <t>(nearest 1%)</t>
  </si>
  <si>
    <t>E x 62.3</t>
  </si>
  <si>
    <t>Concrete Mix Information</t>
  </si>
  <si>
    <t>Mix Grade</t>
  </si>
  <si>
    <t>MRS Mix # (132 Prefix)</t>
  </si>
  <si>
    <t>Mix to be used on following bid items:</t>
  </si>
  <si>
    <t>City</t>
  </si>
  <si>
    <t>State</t>
  </si>
  <si>
    <t>Zip Code</t>
  </si>
  <si>
    <t>Address</t>
  </si>
  <si>
    <t>Mix Designer Name (Print)</t>
  </si>
  <si>
    <t>HTCP #</t>
  </si>
  <si>
    <t>Company Name</t>
  </si>
  <si>
    <t>Workability Factor</t>
  </si>
  <si>
    <t>Adjustments</t>
  </si>
  <si>
    <t>Adjusted Workability Factor</t>
  </si>
  <si>
    <t>Shilstone Chart Data</t>
  </si>
  <si>
    <t>Coarseness Factor</t>
  </si>
  <si>
    <t>Wt. Of Unit Weight Container, lbs (B)</t>
  </si>
  <si>
    <t>NOTE:  Must use all 3 to get the correct average and for this spreadsheet to work</t>
  </si>
  <si>
    <t>Dosage (oz/cwt)</t>
  </si>
  <si>
    <t>Absorp (%)</t>
  </si>
  <si>
    <t>Coarse A</t>
  </si>
  <si>
    <t>Coarse B</t>
  </si>
  <si>
    <t>% Retained Volumetric</t>
  </si>
  <si>
    <t>GENERAL INSTRUCTIONS ON ENTERING DATA</t>
  </si>
  <si>
    <t>NOTES</t>
  </si>
  <si>
    <t>Data</t>
  </si>
  <si>
    <t>Data_Charts</t>
  </si>
  <si>
    <t>Various visual data representations of the blended aggregates</t>
  </si>
  <si>
    <t>SAM #</t>
  </si>
  <si>
    <t>during trial batching</t>
  </si>
  <si>
    <t>AGGREGATE CORRECTION FACTOR</t>
  </si>
  <si>
    <t>Source Name</t>
  </si>
  <si>
    <t>Test Number</t>
  </si>
  <si>
    <r>
      <t xml:space="preserve">UNIT WEIGHT/VOIDS IN AGGREGATE - </t>
    </r>
    <r>
      <rPr>
        <sz val="10"/>
        <rFont val="Times New Roman"/>
        <family val="1"/>
      </rPr>
      <t>AASHTO T19/ ASTM: C29</t>
    </r>
  </si>
  <si>
    <t/>
  </si>
  <si>
    <t>≤5.0</t>
  </si>
  <si>
    <t>Test #</t>
  </si>
  <si>
    <t>Source ID #</t>
  </si>
  <si>
    <t>Coarse C</t>
  </si>
  <si>
    <t>Fine A</t>
  </si>
  <si>
    <t>Fine B</t>
  </si>
  <si>
    <t>Fineness Modulus of Fine A</t>
  </si>
  <si>
    <t>Fineness Modulus of Fine B</t>
  </si>
  <si>
    <t>Wt.</t>
  </si>
  <si>
    <t>SG (SSD)</t>
  </si>
  <si>
    <t>Volume (ft^3)</t>
  </si>
  <si>
    <t>Combined Grad.</t>
  </si>
  <si>
    <t>Vol. % Passing</t>
  </si>
  <si>
    <t>Vol. % Ret.</t>
  </si>
  <si>
    <t>Mass % Retained</t>
  </si>
  <si>
    <t>Cum. Mass % Ret.</t>
  </si>
  <si>
    <t>% Coarse A</t>
  </si>
  <si>
    <t>% Coarse B</t>
  </si>
  <si>
    <t>% Coarse C</t>
  </si>
  <si>
    <t>% Fine A</t>
  </si>
  <si>
    <t>% Fine B</t>
  </si>
  <si>
    <t>% Vol. Tot. Coarse</t>
  </si>
  <si>
    <t>% Vol. Tot. Fine</t>
  </si>
  <si>
    <t>Vol. Calculations</t>
  </si>
  <si>
    <t>Mass Calculations</t>
  </si>
  <si>
    <t>% Mass Tot. Coarse</t>
  </si>
  <si>
    <t>% Mass Tot. Fine</t>
  </si>
  <si>
    <r>
      <t>P</t>
    </r>
    <r>
      <rPr>
        <vertAlign val="subscript"/>
        <sz val="12"/>
        <rFont val="Times New Roman"/>
        <family val="1"/>
      </rPr>
      <t>4</t>
    </r>
  </si>
  <si>
    <r>
      <t>P</t>
    </r>
    <r>
      <rPr>
        <vertAlign val="subscript"/>
        <sz val="12"/>
        <rFont val="Times New Roman"/>
        <family val="1"/>
      </rPr>
      <t>5</t>
    </r>
  </si>
  <si>
    <r>
      <t>G</t>
    </r>
    <r>
      <rPr>
        <vertAlign val="subscript"/>
        <sz val="12"/>
        <rFont val="Times New Roman"/>
        <family val="1"/>
      </rPr>
      <t>4</t>
    </r>
  </si>
  <si>
    <r>
      <t>G</t>
    </r>
    <r>
      <rPr>
        <vertAlign val="subscript"/>
        <sz val="12"/>
        <rFont val="Times New Roman"/>
        <family val="1"/>
      </rPr>
      <t>5</t>
    </r>
  </si>
  <si>
    <t>DO NOT TOUCH! MODIFICATIONS MADE TO THIS SHEET WILL INVALIDATE THE PROPOSED MIXTURE DESIGN!!!</t>
  </si>
  <si>
    <t>Slip-form: 24%-34%</t>
  </si>
  <si>
    <t>Placement Type</t>
  </si>
  <si>
    <t>Pump</t>
  </si>
  <si>
    <t>Hand Placement</t>
  </si>
  <si>
    <t>Placement Method</t>
  </si>
  <si>
    <t>Slip-form</t>
  </si>
  <si>
    <t>Silica Fume</t>
  </si>
  <si>
    <t>CONCRETE MATERIAL PROPERTIES</t>
  </si>
  <si>
    <t>Other</t>
  </si>
  <si>
    <t>Total SCM Rep.</t>
  </si>
  <si>
    <t>Agg. % Mass</t>
  </si>
  <si>
    <t>TARANTULA RESULTS: FINE AGGREGATE LIMITS (From Table 501-4 in the Standard Specification)</t>
  </si>
  <si>
    <t>% Passing</t>
  </si>
  <si>
    <t>Cum. % Ret.</t>
  </si>
  <si>
    <t>Combined by Mass %</t>
  </si>
  <si>
    <t>Aggregate Type</t>
  </si>
  <si>
    <t>Vol. % Combined Calcs</t>
  </si>
  <si>
    <t>Source Name/Manufacturer</t>
  </si>
  <si>
    <t>AGGREGATE SOURCES AND INFORMATION</t>
  </si>
  <si>
    <t>CEMENTITIOUS MATERIAL INFORMATION</t>
  </si>
  <si>
    <t>INFORMATIONAL PURPOSES ONLY</t>
  </si>
  <si>
    <t>Fine Combined</t>
  </si>
  <si>
    <t>Calculating Comp. FM</t>
  </si>
  <si>
    <t>Composite FA Fineness Modulus</t>
  </si>
  <si>
    <t>Non-slip-formed</t>
  </si>
  <si>
    <t>Pumping, Hand Placement or Other: 24%-40%</t>
  </si>
  <si>
    <t>OTHER INFORMATION (FILL OUT IF 'OTHER' CELL IS FILLED)</t>
  </si>
  <si>
    <t>Material Name</t>
  </si>
  <si>
    <t>Liquid/Powder</t>
  </si>
  <si>
    <t>Material Type (Blended SCM, ASCM)</t>
  </si>
  <si>
    <t>SG</t>
  </si>
  <si>
    <t>CAG (+2 Agg.)</t>
  </si>
  <si>
    <t>LL</t>
  </si>
  <si>
    <t>UL</t>
  </si>
  <si>
    <t>% Mass</t>
  </si>
  <si>
    <t>lbs.</t>
  </si>
  <si>
    <t>MIXTURE VOLUMETRICS AND WEIGHTS</t>
  </si>
  <si>
    <t>Total Agg. Vol.</t>
  </si>
  <si>
    <t>Total Agg. Wt.</t>
  </si>
  <si>
    <t>lbs./cy</t>
  </si>
  <si>
    <t>Max Nominal Aggregate Size (in.)</t>
  </si>
  <si>
    <t>Project Engineer Name (Print)</t>
  </si>
  <si>
    <t>COMBINED AGGREGATE GRADATION RESULTS</t>
  </si>
  <si>
    <t>Drop Down Menu Placement Method</t>
  </si>
  <si>
    <t>Selecting No. 1 Only Mixes</t>
  </si>
  <si>
    <t>Mix Type</t>
  </si>
  <si>
    <t>More than 2 CA</t>
  </si>
  <si>
    <t>Combined % Passing</t>
  </si>
  <si>
    <t>CAG No. 1 Only</t>
  </si>
  <si>
    <t>1 CA</t>
  </si>
  <si>
    <t>2+ CA</t>
  </si>
  <si>
    <t>% Vol. of Coarse Agg.</t>
  </si>
  <si>
    <t>% Vol. of Fine Agg.</t>
  </si>
  <si>
    <t>% Vol. of paste</t>
  </si>
  <si>
    <t>% Vol. of aggs</t>
  </si>
  <si>
    <t>Counting CA</t>
  </si>
  <si>
    <t>Shilstone Chart</t>
  </si>
  <si>
    <t>Aggregate Proportions</t>
  </si>
  <si>
    <t>OPTIMIZED AGGREGATE GRADATION RESULTS</t>
  </si>
  <si>
    <t>Spec Defined Limits (% Pass)</t>
  </si>
  <si>
    <t>A</t>
  </si>
  <si>
    <t>B</t>
  </si>
  <si>
    <t>E</t>
  </si>
  <si>
    <t>CONCRETE GRADE</t>
  </si>
  <si>
    <t>Concrete Grade</t>
  </si>
  <si>
    <t>Min. Cementit.</t>
  </si>
  <si>
    <t>Max. w/cm</t>
  </si>
  <si>
    <t>Target w/cm</t>
  </si>
  <si>
    <t>Total Cementitious (lbs./cy)</t>
  </si>
  <si>
    <t>Class I: Pavement</t>
  </si>
  <si>
    <t>Class I: Barrier</t>
  </si>
  <si>
    <t>Class I: Structure</t>
  </si>
  <si>
    <t>TYPE OF CONC. CONST.</t>
  </si>
  <si>
    <t>Class II</t>
  </si>
  <si>
    <t>Class III</t>
  </si>
  <si>
    <t>Adjusted Max w/cm</t>
  </si>
  <si>
    <t>Fly-Ash</t>
  </si>
  <si>
    <t>SCM REPLACEMENT AMOUNTS</t>
  </si>
  <si>
    <t>% Rep. by Wt. Cem.</t>
  </si>
  <si>
    <t>Rounding TOT. ABS. VOL.</t>
  </si>
  <si>
    <t>Air Content</t>
  </si>
  <si>
    <t>SCM ERRORS</t>
  </si>
  <si>
    <t>Paste ERRORS</t>
  </si>
  <si>
    <t>Sheet 2 Errors</t>
  </si>
  <si>
    <t>Mixture Design Req.</t>
  </si>
  <si>
    <t>Concrete Class</t>
  </si>
  <si>
    <t>Sheet 3 Errors</t>
  </si>
  <si>
    <t># of CA</t>
  </si>
  <si>
    <t>TOT. ABS. VOL.</t>
  </si>
  <si>
    <t>CAG Limits</t>
  </si>
  <si>
    <t>Cementitious Content</t>
  </si>
  <si>
    <t>ASTM/AASHTO</t>
  </si>
  <si>
    <t>MAX. Rep.</t>
  </si>
  <si>
    <t>501.3.2.3 ,710.4 &amp; 715.2.2 MIXTURE DESIGN REQUIREMENTS</t>
  </si>
  <si>
    <t>ASTM/AASHTO Type (AE,A,B,C,D,..)</t>
  </si>
  <si>
    <t>SECTION A - Project Information</t>
  </si>
  <si>
    <t>Construction Project ID(s)</t>
  </si>
  <si>
    <t>Project Engineer / Company</t>
  </si>
  <si>
    <t>SECTION B - Concrete Contractor Information</t>
  </si>
  <si>
    <t>Concrete Paving Company</t>
  </si>
  <si>
    <t>Telephone Number</t>
  </si>
  <si>
    <t>Main Address</t>
  </si>
  <si>
    <t>SECTION C - Concrete Supplier Information</t>
  </si>
  <si>
    <t>Concrete Supplier Company</t>
  </si>
  <si>
    <t>SECTION D - Concrete Mix Information</t>
  </si>
  <si>
    <t>Contractor Mix ID</t>
  </si>
  <si>
    <t>Bid Item No.</t>
  </si>
  <si>
    <t>Concrete Plant Name / Location</t>
  </si>
  <si>
    <t>Plant Type</t>
  </si>
  <si>
    <t>I certify that this mix design meets WisDOT specification requirements. The design is based on the documented material sources, types and proportions documented during the trial batching process and is only valid for these constituents and proportions. Any change in a constituent type or source will require reevaluation of the mix design by a certified mix designer.
**Disclaimer: This mix design is to be used by the parties indicated on this certification for construction purposes. This mix design does not guarantee the results in the field due to the variability of construction operations.</t>
  </si>
  <si>
    <t>Email</t>
  </si>
  <si>
    <t>I certify that I have reviewed the mix design. All the sources listed in this mix design are approved per WisDOT specifications or written approval of the department. I have confirmed the sources in this mix design are accurate with the Contractor's submitted Quality Control Plan. I acknowledge that any source change from this mix design requires reevaluation by a certified mix designer.</t>
  </si>
  <si>
    <t>Signature (Wet or Digital)</t>
  </si>
  <si>
    <t>AGGREGATE INFORMATION</t>
  </si>
  <si>
    <t>Source Name / Source ID</t>
  </si>
  <si>
    <t>AGGREGATE CORRECTION FACTOR (%)</t>
  </si>
  <si>
    <t>CEMENTITIOUS MATERIALS</t>
  </si>
  <si>
    <t>Type/Class/Grade</t>
  </si>
  <si>
    <t>CHEMICAL ADMIXTURE INFORMATION</t>
  </si>
  <si>
    <t>ASTM/AASHTO Type (AE, A,B,C,D,…)</t>
  </si>
  <si>
    <t>Dosage (oz./cwt)</t>
  </si>
  <si>
    <t>Water Source</t>
  </si>
  <si>
    <t>Individual Mass % Passing</t>
  </si>
  <si>
    <t>Proportioned Mass % Passing</t>
  </si>
  <si>
    <t>Comb.</t>
  </si>
  <si>
    <t>Comb. % Passing</t>
  </si>
  <si>
    <t>Result</t>
  </si>
  <si>
    <t>Input</t>
  </si>
  <si>
    <t>Aggregate Proportion Check</t>
  </si>
  <si>
    <t>Proportion (%)</t>
  </si>
  <si>
    <t>Wt. (lbs.)</t>
  </si>
  <si>
    <t>SSD Wts. (lbs./cy)</t>
  </si>
  <si>
    <t>SSD Weight (lbs./cy)</t>
  </si>
  <si>
    <t>Aggregate Source Checks</t>
  </si>
  <si>
    <t>Source Id #</t>
  </si>
  <si>
    <t>Concatenated Result</t>
  </si>
  <si>
    <t>Cementitious Material Source Checks</t>
  </si>
  <si>
    <t>Water Source Check</t>
  </si>
  <si>
    <t>Chemical Admixture Checks</t>
  </si>
  <si>
    <t>Admix</t>
  </si>
  <si>
    <t>Dosage</t>
  </si>
  <si>
    <t>Fly ash</t>
  </si>
  <si>
    <t>SG Checks</t>
  </si>
  <si>
    <t>Air</t>
  </si>
  <si>
    <t>Vol</t>
  </si>
  <si>
    <t>-</t>
  </si>
  <si>
    <t>Aggregate and Cementitious Material Mixture Volumetrics</t>
  </si>
  <si>
    <t>Water and Air Volumetrics</t>
  </si>
  <si>
    <t>Standard</t>
  </si>
  <si>
    <t>100% Passing 1 inch</t>
  </si>
  <si>
    <t>COMBINED AGGREGATE GRADATION LIMIT SELECTION (STANDARD OR 100% PASSING 1 INCH SIEVE)</t>
  </si>
  <si>
    <t>TO THE ENGINEER: ONLY SIGN AFTER DISCUSSING THE REASON FOR SCM EXEMPTION</t>
  </si>
  <si>
    <t>2 Aggregate System</t>
  </si>
  <si>
    <t>3 Paste Quality</t>
  </si>
  <si>
    <t>1 Certification</t>
  </si>
  <si>
    <t>Not selecting the proper curve will result in an error.</t>
  </si>
  <si>
    <t>The charts located on this sheet are FOR INFORMATIONAL PURPOSES only! It is not meant to be used for mixture design acceptance.</t>
  </si>
  <si>
    <t>Inputs ONLY go in cells that are CANARY YELLOW</t>
  </si>
  <si>
    <t>SCM Exemption Signature Field</t>
  </si>
  <si>
    <t>Look up the ASTM C494 Type on the admixture product sheet</t>
  </si>
  <si>
    <t>For air entrainers, type in AE</t>
  </si>
  <si>
    <t>Input 27.2 in the 'To:' field in Solver</t>
  </si>
  <si>
    <r>
      <t>There is an allowable tolerance of +/- .05 ft.</t>
    </r>
    <r>
      <rPr>
        <vertAlign val="superscript"/>
        <sz val="11"/>
        <rFont val="Calibri"/>
        <family val="2"/>
        <scheme val="minor"/>
      </rPr>
      <t>3</t>
    </r>
    <r>
      <rPr>
        <sz val="11"/>
        <rFont val="Calibri"/>
        <family val="2"/>
        <scheme val="minor"/>
      </rPr>
      <t xml:space="preserve"> from the 27.2 ft.</t>
    </r>
    <r>
      <rPr>
        <vertAlign val="superscript"/>
        <sz val="11"/>
        <rFont val="Calibri"/>
        <family val="2"/>
        <scheme val="minor"/>
      </rPr>
      <t>3</t>
    </r>
    <r>
      <rPr>
        <sz val="11"/>
        <rFont val="Calibri"/>
        <family val="2"/>
        <scheme val="minor"/>
      </rPr>
      <t xml:space="preserve"> requirement</t>
    </r>
  </si>
  <si>
    <t>Target Volume of Air (%)</t>
  </si>
  <si>
    <t>Target Air Content (%)</t>
  </si>
  <si>
    <t>Target Air %</t>
  </si>
  <si>
    <r>
      <t xml:space="preserve">Signature </t>
    </r>
    <r>
      <rPr>
        <sz val="7"/>
        <rFont val="Calibri"/>
        <family val="2"/>
        <scheme val="minor"/>
      </rPr>
      <t>(Wet or Digital)</t>
    </r>
  </si>
  <si>
    <r>
      <t>Volume (ft</t>
    </r>
    <r>
      <rPr>
        <b/>
        <vertAlign val="superscript"/>
        <sz val="10"/>
        <color theme="1"/>
        <rFont val="Calibri"/>
        <family val="2"/>
        <scheme val="minor"/>
      </rPr>
      <t>3</t>
    </r>
    <r>
      <rPr>
        <b/>
        <sz val="10"/>
        <color theme="1"/>
        <rFont val="Calibri"/>
        <family val="2"/>
        <scheme val="minor"/>
      </rPr>
      <t>)</t>
    </r>
  </si>
  <si>
    <r>
      <t>Tot. Vol. (ft</t>
    </r>
    <r>
      <rPr>
        <b/>
        <vertAlign val="superscript"/>
        <sz val="10"/>
        <rFont val="Calibri"/>
        <family val="2"/>
        <scheme val="minor"/>
      </rPr>
      <t>3</t>
    </r>
    <r>
      <rPr>
        <b/>
        <sz val="10"/>
        <rFont val="Calibri"/>
        <family val="2"/>
        <scheme val="minor"/>
      </rPr>
      <t>)</t>
    </r>
  </si>
  <si>
    <r>
      <t>Abs. Volume (ft</t>
    </r>
    <r>
      <rPr>
        <vertAlign val="superscript"/>
        <sz val="12"/>
        <rFont val="Calibri"/>
        <family val="2"/>
      </rPr>
      <t>3</t>
    </r>
    <r>
      <rPr>
        <sz val="12"/>
        <rFont val="Calibri"/>
        <family val="2"/>
      </rPr>
      <t>)</t>
    </r>
  </si>
  <si>
    <r>
      <t>ft</t>
    </r>
    <r>
      <rPr>
        <vertAlign val="superscript"/>
        <sz val="12"/>
        <rFont val="Calibri"/>
        <family val="2"/>
      </rPr>
      <t>3</t>
    </r>
  </si>
  <si>
    <t>Water (Gallons)</t>
  </si>
  <si>
    <t>CONCRETE MIXTURE DESIGN - COMBINED AGGREGATE GRADATION</t>
  </si>
  <si>
    <t>Wisconsin Department of Transportation</t>
  </si>
  <si>
    <t xml:space="preserve">CONCRETE MIXTURE DESIGN - COMBINED AGGREGATE GRADATION                                                           </t>
  </si>
  <si>
    <t xml:space="preserve">CONCRETE MIXTURE DESIGN - COMBINED AGGREGATE GRADATION                                                                           </t>
  </si>
  <si>
    <t>→</t>
  </si>
  <si>
    <t>WisDOT STAFF ONLY: A Regional Materials Engineer is the only signature allowed in the signature field. Digital and/or physical.</t>
  </si>
  <si>
    <t>Any signature other than the WisDOT Regional Materials Engineer will void the proposed mixture design.</t>
  </si>
  <si>
    <t>The purpose of this section is to cover SCMs that are NOT fly-ash, slag or silica fume.</t>
  </si>
  <si>
    <t>These include a variety of ASCMs or blended SCMs that may be allowed under the active Standard Specification.</t>
  </si>
  <si>
    <t>Select '100% Passing 1-inch' from the drop down menu if all coarse aggregates meet this criteria.</t>
  </si>
  <si>
    <t>Select 'Standard' from drop down menu if using No. 2 and No. 1 stone sizes.</t>
  </si>
  <si>
    <t>This form must filled out using a computer. Signatures do not have to be filled out digitally.</t>
  </si>
  <si>
    <t>It is recommended to print this 'Direction' sheet out when using this form for the first time.</t>
  </si>
  <si>
    <t>Design Date:</t>
  </si>
  <si>
    <t>Text may be cut off due to difference in computer graphics or versions of Excel.</t>
  </si>
  <si>
    <t>It is best practice to use Excel 2016 or newer.</t>
  </si>
  <si>
    <r>
      <t>SSD Weight (lbs./yd</t>
    </r>
    <r>
      <rPr>
        <vertAlign val="superscript"/>
        <sz val="12"/>
        <rFont val="Calibri"/>
        <family val="2"/>
      </rPr>
      <t>3</t>
    </r>
    <r>
      <rPr>
        <sz val="12"/>
        <rFont val="Calibri"/>
        <family val="2"/>
      </rPr>
      <t>)</t>
    </r>
  </si>
  <si>
    <t>S.G.</t>
  </si>
  <si>
    <t>Air (%)</t>
  </si>
  <si>
    <t>Total Aggregate Weight (lbs.)</t>
  </si>
  <si>
    <t>4 Mix Design Inputs</t>
  </si>
  <si>
    <t>Optimization Tool Mix Design Inputs</t>
  </si>
  <si>
    <t>Aggregate</t>
  </si>
  <si>
    <t>% Mass for Each Aggregate from User</t>
  </si>
  <si>
    <t>Vol. (ft^3)</t>
  </si>
  <si>
    <t>User Input from Optimzation Tool</t>
  </si>
  <si>
    <t>Sieves</t>
  </si>
  <si>
    <t>CAG Fit</t>
  </si>
  <si>
    <t>Initial Guess</t>
  </si>
  <si>
    <t>High</t>
  </si>
  <si>
    <t>Low</t>
  </si>
  <si>
    <t>Middle</t>
  </si>
  <si>
    <t>Error</t>
  </si>
  <si>
    <t>Error^2</t>
  </si>
  <si>
    <t>CAG Error</t>
  </si>
  <si>
    <t>Sum of Error^2</t>
  </si>
  <si>
    <t>CAG Sum of Error^2</t>
  </si>
  <si>
    <r>
      <t>Wt. from Opt. Tool (lbs./yd</t>
    </r>
    <r>
      <rPr>
        <vertAlign val="superscript"/>
        <sz val="12"/>
        <color theme="1"/>
        <rFont val="Calibri"/>
        <family val="2"/>
      </rPr>
      <t>3</t>
    </r>
    <r>
      <rPr>
        <sz val="12"/>
        <color theme="1"/>
        <rFont val="Calibri"/>
        <family val="2"/>
      </rPr>
      <t>)</t>
    </r>
  </si>
  <si>
    <t>Agg. % Wt.</t>
  </si>
  <si>
    <t>Sum of Agg. % Wt.</t>
  </si>
  <si>
    <t>% Wt.</t>
  </si>
  <si>
    <t>MAX. DESIGN W/CM</t>
  </si>
  <si>
    <t>Source Type</t>
  </si>
  <si>
    <t>Water Source Type</t>
  </si>
  <si>
    <t>Municipal</t>
  </si>
  <si>
    <t>Well</t>
  </si>
  <si>
    <t>Surface</t>
  </si>
  <si>
    <t>HES MODIFICATIONS</t>
  </si>
  <si>
    <t>HES Contractor Mix ID</t>
  </si>
  <si>
    <t>HER MRS Mix #</t>
  </si>
  <si>
    <t>Option Selected</t>
  </si>
  <si>
    <t>HES Check</t>
  </si>
  <si>
    <r>
      <t xml:space="preserve">SECTION E - High Early Strength (HES) Mix Modifications </t>
    </r>
    <r>
      <rPr>
        <b/>
        <i/>
        <sz val="10"/>
        <rFont val="Calibri"/>
        <family val="2"/>
        <scheme val="minor"/>
      </rPr>
      <t>(Fill Out As Needed)</t>
    </r>
  </si>
  <si>
    <t>HES MRS Mix # (132 Prefix)</t>
  </si>
  <si>
    <r>
      <t xml:space="preserve">HES Modification </t>
    </r>
    <r>
      <rPr>
        <i/>
        <sz val="10"/>
        <color rgb="FFFF0000"/>
        <rFont val="Calibri"/>
        <family val="2"/>
        <scheme val="minor"/>
      </rPr>
      <t>(Select One)</t>
    </r>
  </si>
  <si>
    <t>HES Checks</t>
  </si>
  <si>
    <t>Type III Cement</t>
  </si>
  <si>
    <t>Additional Cement</t>
  </si>
  <si>
    <t>CONCRETE INFORMATION</t>
  </si>
  <si>
    <t>SAM Number</t>
  </si>
  <si>
    <t>CONCRETE CLASS</t>
  </si>
  <si>
    <t>To the mix designer: Provide brief description for SCM exemption (325 character limit)</t>
  </si>
  <si>
    <t>X</t>
  </si>
  <si>
    <t>WisDOT Regional Materials Engineer Signature for SCM Exemption (Wet or Digital)</t>
  </si>
  <si>
    <t>MIN. TOTAL CEMENTITIOUS CONTENT (LBS./CY)</t>
  </si>
  <si>
    <t>Contains helpful notes</t>
  </si>
  <si>
    <t>1. This form can be filled out and submitted to WisDOT for your project</t>
  </si>
  <si>
    <t>2. This certification sheet is required to be submitted for all WisDOT Mixture Designs</t>
  </si>
  <si>
    <t>3. Ensure Worksheets 2-4 are complete and are error free</t>
  </si>
  <si>
    <t>HES Concrete Modifications</t>
  </si>
  <si>
    <t>Ensure you provide the Contractor Mix ID number and a new MRS Mix ID (132 prefix).</t>
  </si>
  <si>
    <t>SECTION F - Mix Design Certification</t>
  </si>
  <si>
    <t>SECTION G - Project Staff Review</t>
  </si>
  <si>
    <t>1. Enter the desired aggregate information listed: Source Name, Source ID, Test #, SG, Absorption, etc.</t>
  </si>
  <si>
    <t>2. Enter the desired individual aggregate gradations in terms of % Passing</t>
  </si>
  <si>
    <t>3. Enter the nominal maximum sizes</t>
  </si>
  <si>
    <t>2. Select the desired Concrete Grade and Classification to determine allowable w/cm and total cementitious content</t>
  </si>
  <si>
    <t>5. Enter the target air content of the mixture (Air %) and SAM #</t>
  </si>
  <si>
    <t>8. Enter Admixture information</t>
  </si>
  <si>
    <t>7. Enter Water Source information and testing.</t>
  </si>
  <si>
    <t>2. Select the appropriate gradation envelope for the concrete mixture to be designed.</t>
  </si>
  <si>
    <t xml:space="preserve">6. Solve for your mix.  </t>
  </si>
  <si>
    <t>5. Open Solver via the following path:</t>
  </si>
  <si>
    <t>Analyze</t>
  </si>
  <si>
    <t>Set Objective to the TOTAL ABS. VOLUME cell: H28</t>
  </si>
  <si>
    <t>The proportion input cells are D16 - D20. The default cells are D16 (Coarse A), D17 (Coarse B) and D19 (Fine A).</t>
  </si>
  <si>
    <t>7. Check to ensure the mixture design is within the Combined Aggregate Gradation Limits. Iteration maybe required.</t>
  </si>
  <si>
    <r>
      <t>8. Check to ensure the TOTAL ABS. VOLUME equals 27.20 ft.</t>
    </r>
    <r>
      <rPr>
        <vertAlign val="superscript"/>
        <sz val="11"/>
        <rFont val="Calibri"/>
        <family val="2"/>
        <scheme val="minor"/>
      </rPr>
      <t>3</t>
    </r>
    <r>
      <rPr>
        <sz val="11"/>
        <rFont val="Calibri"/>
        <family val="2"/>
        <scheme val="minor"/>
      </rPr>
      <t xml:space="preserve"> using standard rounding rules (Cell H28)</t>
    </r>
  </si>
  <si>
    <t>Optimize Tool **WARNING**  THIS WORKSHEET IS UNLOCKED AND CONTAINS SENSITIVE CALCULATIONS.</t>
  </si>
  <si>
    <t>1. Check 2 Aggregate System and 3 Paste Quality for any errors.</t>
  </si>
  <si>
    <t>Correct data entry: 15.2</t>
  </si>
  <si>
    <t>Incorrect data entry: .152 OR 15.2%</t>
  </si>
  <si>
    <t>Click 'Data' ribbon at the top of Excel.</t>
  </si>
  <si>
    <t>Click on 'Solver' which is located in the 'Analyze' section of the 'Data' ribbon.</t>
  </si>
  <si>
    <t>3. Input the desired percentage for each aggregate being used.</t>
  </si>
  <si>
    <t>5. Open Solver in this workbook following these directions:</t>
  </si>
  <si>
    <t>7. Press the 'Solve' button at the bottom of the Solver window and wait for a result.</t>
  </si>
  <si>
    <t>9. Input the individual aggregate weights into the proper fields found on '4 Mixture Design' worksheet.</t>
  </si>
  <si>
    <t xml:space="preserve">The default data entries in the ‘By Changing Variable Cells’ are the following cells: Coarse A (Cell D9), Coarse B (Cell D10), Fine A (Cell D12) </t>
  </si>
  <si>
    <t xml:space="preserve">and ‘Total Aggregate Weight’ (Cell D14). </t>
  </si>
  <si>
    <t>CELL D14 MUST BE SELECTED FOR THE OPTIMIZE TOOL TO WORK!!!</t>
  </si>
  <si>
    <t>TIP: If you have a data entry that is not in the default set up for Solver or need to add an aggregate percentage, clear all</t>
  </si>
  <si>
    <t>of the cell entries and select proper aggregate percentages and the ‘Total Aggregate Weight’ cell.</t>
  </si>
  <si>
    <t>Do this by holding the ‘Control’ (Ctrl) key down and selecting the desired cells.</t>
  </si>
  <si>
    <t>This also can be achieved by placing commas (,) in-between the cells like the following: $D$9, $D$10, $D$12, $D$14</t>
  </si>
  <si>
    <t>2. Select the appropriate gradation envelope for the concrete mixture being designed.</t>
  </si>
  <si>
    <t>4. Input a 'guess' Total Aggregate Weight in cell D14. This make Solver come to a solution faster.</t>
  </si>
  <si>
    <t>1. Ensure 3 Paste Quality Sheet is completely filled and the sheet is free of errors. An error message will be displayed in key cells if there are errors present.</t>
  </si>
  <si>
    <t>General</t>
  </si>
  <si>
    <t>to print to a PDF are covered here.</t>
  </si>
  <si>
    <t>4 Mix Design</t>
  </si>
  <si>
    <t>Directions</t>
  </si>
  <si>
    <t>Printing Directions</t>
  </si>
  <si>
    <t>Optimize Tool</t>
  </si>
  <si>
    <t>Printing Instructions: How to Print to PDF - OPTION 1</t>
  </si>
  <si>
    <t>1: Check all required sheets for errors. Any error discovered on the form will result in a need for correction and resubmittal.</t>
  </si>
  <si>
    <t>2: Save the Excel File before printing.</t>
  </si>
  <si>
    <t>3: Click on the '1 Certification' workbook.</t>
  </si>
  <si>
    <t>4: Hold down the Control (CTRL) key or Shift key and select the following workbooks with your mouse:</t>
  </si>
  <si>
    <t>It is best to use the Control key to select the multiple workbooks</t>
  </si>
  <si>
    <t>5: Go to 'File' in the upper left corner of the Excel window and select 'Print'</t>
  </si>
  <si>
    <t>6: Select the appropriate PDF option in the Printer select drop down menu.</t>
  </si>
  <si>
    <t>Various print PDF options: Microsoft Print to PDF, Adobe PDF, Bluebeam PDF</t>
  </si>
  <si>
    <t>7: Check the Print Preview to make sure all of the required workbooks are present.</t>
  </si>
  <si>
    <t>If one workbook is missing, back out of the Print Preview screen and hold the Control (CTRL) key down and select the missing workbook.</t>
  </si>
  <si>
    <t>Printing Instructions: How to Print to PDF - OPTION 2</t>
  </si>
  <si>
    <t>5: Go to 'File' in the upper left corner of the Excel window and select 'Save As'</t>
  </si>
  <si>
    <t>6: Press the drop down menu where it says '.xlsx'. Search the menu and select '*.pdf'</t>
  </si>
  <si>
    <t>7: Press 'Save' and save it in a folder on your computer.</t>
  </si>
  <si>
    <t>This is not the only way to print to PDF. Third party programs have features where the proper sheets can be selected and printed. Features like this may require</t>
  </si>
  <si>
    <t>a license to use and is beyond WisDOT to provide.</t>
  </si>
  <si>
    <t>Printing Instructions: Which Sheets to Print for Concrete Mixture Design Submittal (DT2220)</t>
  </si>
  <si>
    <t>The DT22210 Form needs to be submitted in a digital format per 710.4 (2). No other format will be accepted.</t>
  </si>
  <si>
    <t>5 Agg Analysis</t>
  </si>
  <si>
    <t>6 Calculation Check</t>
  </si>
  <si>
    <t>DT2220     06/2022</t>
  </si>
  <si>
    <t>Version 2.0</t>
  </si>
  <si>
    <t>SHEET INSTRUCTIONS</t>
  </si>
  <si>
    <t>a SCM(s) for the project. Work with WisDOT staff if SCM supplies for the project are a foreseeable issue.</t>
  </si>
  <si>
    <t>If the 'Other' cells are filled out in the 'Cementitious Materials Information' table, fill out the 'Other Information' Table</t>
  </si>
  <si>
    <t>with the appropriate information.</t>
  </si>
  <si>
    <t>There is an optional field in Section E - High Early Strength (HES) Mix Modification to modify the mixture into a High Early Strength (HES) mixture.</t>
  </si>
  <si>
    <t>Check the most relevant option per 710.4 (5) if you wish to make this mixture HES.</t>
  </si>
  <si>
    <t>1. Enter info listed in Cementitious material: Manufacturer, Source, Type/Class/Grade, and Specific Gravity (S.G.).</t>
  </si>
  <si>
    <t>S.G. can be found on the Mill Certification from the manufacturer.</t>
  </si>
  <si>
    <t>3. Enter the desired TOTAL cementitious content the complies with the Concrete Grade and Classification.</t>
  </si>
  <si>
    <t>4. Enter a water-to-cementitious ratio (w/cm) that complies with Concrete Grade and Classification.</t>
  </si>
  <si>
    <t>6. Enter the percentages of Supplementary Cementitious Materials (SCMs): Fly-ash, Slag, Silica Fume, etc.</t>
  </si>
  <si>
    <t>The maximum total SCM replacement amount is 30%. If the input is greater than 30%, then an error message will be present.</t>
  </si>
  <si>
    <t>See 501.2.4.2.4 for restrictions on silica fume.</t>
  </si>
  <si>
    <t>4 Mix Design **WARNING**  THIS WORKSHEET IS UNLOCKED AND CONTAINS SENSITIVE CALCULATIONS. ONLY MODIFY CANARY YELLOW CELLS AND H28</t>
  </si>
  <si>
    <t>3. Input the desired SSD aggregate weights for the mixture. Values from the Optimize Tool are displayed if it was used to proportion mixture.</t>
  </si>
  <si>
    <t>Input those weights into the proper cells.</t>
  </si>
  <si>
    <t>To modify the default cells, clear the 'By Changing Variable Cells' field. Hold the control (CTRL) key down and click the desired cells.</t>
  </si>
  <si>
    <t>The same can be achieved using commas separating the cells. Example: $D$16, $D$17, $D$19</t>
  </si>
  <si>
    <t>Press solve to get a result.</t>
  </si>
  <si>
    <t>Select the desired cell or cells with the aggregate weight to be changed in the 'By Changing Variable Cells' field in Solver.</t>
  </si>
  <si>
    <t>6. Check the ‘By Changing Variable Cells’ field in Solver to ensure the proper aggregate percentages are selected and the ‘Total Aggregate Weight’</t>
  </si>
  <si>
    <t xml:space="preserve"> cell is selected.</t>
  </si>
  <si>
    <t>8. Check the Tarantula Curve chart below the 'Mixture Proportions' table to see if the Solver result is acceptable. Iteration or manual entry may be necessary.</t>
  </si>
  <si>
    <t>Total Cement Content (lbs./cy)</t>
  </si>
  <si>
    <t xml:space="preserve"> Leave this checkbox unmarked if the project will have a steady and reliable source of SCM(s).</t>
  </si>
  <si>
    <t>The 'Solver' function must be open on the '4 Mix Design' sheet in order for it to work on this sheet.</t>
  </si>
  <si>
    <t>Read Optimize Tool instructions if you want to use it to proportion your mixture.</t>
  </si>
  <si>
    <t>The 'Solver' function must be opened on the 'Optimize Tool' sheet in order for the tool to work.</t>
  </si>
  <si>
    <t>Design Date (mm/dd/yyyy)</t>
  </si>
  <si>
    <t>Date (mm/dd/yyyy)</t>
  </si>
  <si>
    <t>DT2220     07/2022</t>
  </si>
  <si>
    <t>Additional Cement (lbs./cy)</t>
  </si>
  <si>
    <t>MIXTURE DESIGNERS/CONTRACTORS: Only checkmark the SCM Exemption Request Checkbox if there are KNOWN logistical issues of supplying</t>
  </si>
  <si>
    <t xml:space="preserve">4. If not using the Optimize Tool: Multiply the total aggregate weight (2700 - 4000 lbs./cy) by the desired percentage to get the weight for each aggregate. </t>
  </si>
  <si>
    <r>
      <t xml:space="preserve">THIS FORM IS </t>
    </r>
    <r>
      <rPr>
        <u/>
        <sz val="11"/>
        <color rgb="FFC00000"/>
        <rFont val="Calibri"/>
        <family val="2"/>
        <scheme val="minor"/>
      </rPr>
      <t>ONLY</t>
    </r>
    <r>
      <rPr>
        <sz val="11"/>
        <color rgb="FFC00000"/>
        <rFont val="Calibri"/>
        <family val="2"/>
        <scheme val="minor"/>
      </rPr>
      <t xml:space="preserve"> MEANT FOR CONCRETE MIXTURE DESIGNS.</t>
    </r>
  </si>
  <si>
    <t>All DT2220 Forms must be submitted in a PDF format. Instructions on which worksheets are needed for submittals and how</t>
  </si>
  <si>
    <r>
      <t xml:space="preserve">The following Excel Worksheets are </t>
    </r>
    <r>
      <rPr>
        <b/>
        <u/>
        <sz val="11"/>
        <color rgb="FFAA0000"/>
        <rFont val="Calibri"/>
        <family val="2"/>
        <scheme val="minor"/>
      </rPr>
      <t>REQUIRED</t>
    </r>
    <r>
      <rPr>
        <b/>
        <sz val="11"/>
        <rFont val="Calibri"/>
        <family val="2"/>
        <scheme val="minor"/>
      </rPr>
      <t xml:space="preserve"> for Concrete Mixture Design Submittal:</t>
    </r>
  </si>
  <si>
    <r>
      <t xml:space="preserve">The following Excel Worksheets </t>
    </r>
    <r>
      <rPr>
        <b/>
        <u/>
        <sz val="11"/>
        <color rgb="FFAA0000"/>
        <rFont val="Calibri"/>
        <family val="2"/>
        <scheme val="minor"/>
      </rPr>
      <t>DO NOT</t>
    </r>
    <r>
      <rPr>
        <b/>
        <sz val="11"/>
        <color theme="1"/>
        <rFont val="Calibri"/>
        <family val="2"/>
        <scheme val="minor"/>
      </rPr>
      <t xml:space="preserve"> need to be submitted for Concrete Mixture Design Submittal:</t>
    </r>
  </si>
  <si>
    <t>GENERAL INSTRUCTIONS FOR MIX MODIFICATION</t>
  </si>
  <si>
    <t xml:space="preserve">This form documents changes made to an approved concrete mix design after the original contract mix has been approved. Complete all canary colored fields applicable to the modification being requested. The information provied should clearly identify what changed, why the change was made, and the supporting quality data. </t>
  </si>
  <si>
    <t>Multiple modifications may be documented within a single modification record. If any Level 2 modification is included, the modification record shall be subject to Level 2 review and approval requirements, regardless of any accompanying Level 1 modifications.</t>
  </si>
  <si>
    <t>It is best to use Excel 2016 or newer.</t>
  </si>
  <si>
    <t>Modification Contractor Mix ID</t>
  </si>
  <si>
    <t xml:space="preserve">Enter: </t>
  </si>
  <si>
    <t xml:space="preserve">New mix identification number assigned to the modified mix. </t>
  </si>
  <si>
    <t xml:space="preserve">Example: </t>
  </si>
  <si>
    <t>T1240730A-2_v1</t>
  </si>
  <si>
    <t>Intent:</t>
  </si>
  <si>
    <t>Create a unique identifier for the revised mix while maintaining traceability to the original mix.</t>
  </si>
  <si>
    <t>Modification Mix Date</t>
  </si>
  <si>
    <t>Enter:</t>
  </si>
  <si>
    <t>Date the modified mix design was created.</t>
  </si>
  <si>
    <t>Example:</t>
  </si>
  <si>
    <t>Original Contractor Mix ID</t>
  </si>
  <si>
    <t>Contract mix identification number of mixture modifying.</t>
  </si>
  <si>
    <t xml:space="preserve">Intent: </t>
  </si>
  <si>
    <t>The first modification will modify the mix identification number on the 1 Certification Tab. 
Subsequent modifications could be modifying the mix identification number on the 1 Certification Tab OR a modification of this mix already</t>
  </si>
  <si>
    <t>1. If modifying the original submittal - copy the mix ID from the 1 Certification Page: T1240730A-2</t>
  </si>
  <si>
    <t>2. If modifying a modification: T1240730A-2_v1</t>
  </si>
  <si>
    <t>Original Mix Date</t>
  </si>
  <si>
    <t>Original approval or creation date of the mix design</t>
  </si>
  <si>
    <t>Modification Level</t>
  </si>
  <si>
    <t>Check the box of the Level of Modification. (Level 1 or Level 2)</t>
  </si>
  <si>
    <t>WisDOT Approval</t>
  </si>
  <si>
    <t>Check appropriate box (yes  / no)</t>
  </si>
  <si>
    <t>Level 1 does not require WisDOT Approval</t>
  </si>
  <si>
    <t>Level 2 REQUIRES WisDOT Approval</t>
  </si>
  <si>
    <t>If Level 1 and Level 2 are being submitted in the same modification, WisDOT Approval is Required</t>
  </si>
  <si>
    <t>BTS Approval</t>
  </si>
  <si>
    <t>Flags if additional time may be needed to get approval of the modification.</t>
  </si>
  <si>
    <t>▪ Cement Source not on the APL</t>
  </si>
  <si>
    <t>▪ Aggregate Source not on the APL</t>
  </si>
  <si>
    <t>▪ Use of Silicia Fume</t>
  </si>
  <si>
    <t>▪ Use of Blended SCM</t>
  </si>
  <si>
    <t>▪ Use of Alternative SCM</t>
  </si>
  <si>
    <t>▪ Use of High Range Water Reducer</t>
  </si>
  <si>
    <t>▪ Use of Hydration Controlling Admixture</t>
  </si>
  <si>
    <t>HES Mix Modification</t>
  </si>
  <si>
    <t>Reminder that a new 132 report is required for HES Mix</t>
  </si>
  <si>
    <t>Modification Made to Mix Design (Level 1)</t>
  </si>
  <si>
    <t>The new (already approved) water source that will be used for the mix design</t>
  </si>
  <si>
    <t>SW Liberty Private Well 0-131-0012-2026</t>
  </si>
  <si>
    <t>Add Color Pigment</t>
  </si>
  <si>
    <t>Enter the brand, color and loading rate</t>
  </si>
  <si>
    <t>Butterfield  U-15 Coral Buff 6%</t>
  </si>
  <si>
    <t>Fly Ash Clas C Source (Pavement/Barrier)</t>
  </si>
  <si>
    <t>Enter the source, location and the specific gravity of the new ash source</t>
  </si>
  <si>
    <t>Amrize - Oak Creek (SG 2.59)</t>
  </si>
  <si>
    <t>Slag Source (same grade)</t>
  </si>
  <si>
    <t>Enter the source, location and the specific gravity of the new slag source</t>
  </si>
  <si>
    <t>Heidelberg - Middlebranch (SG 2.67)</t>
  </si>
  <si>
    <t>Admix Dosage Rate (on APL)</t>
  </si>
  <si>
    <t>Enter admix and new dosage rate</t>
  </si>
  <si>
    <t>Dynamon SX (5.5%)</t>
  </si>
  <si>
    <t>Add Type B or D Admixture (on APL)</t>
  </si>
  <si>
    <t>Enter admix and dosage rate</t>
  </si>
  <si>
    <t>Mapetard (Polychem) R (3%)</t>
  </si>
  <si>
    <t>Remove Type B or D Admixture (on APL)</t>
  </si>
  <si>
    <t>Enter admix name and specify removed</t>
  </si>
  <si>
    <t>Mapetard (Polychem) R - Removed</t>
  </si>
  <si>
    <t>Aggregate Blend / Agg Quality Update</t>
  </si>
  <si>
    <r>
      <rPr>
        <i/>
        <sz val="11"/>
        <rFont val="Calibri"/>
        <family val="2"/>
        <scheme val="minor"/>
      </rPr>
      <t>Aggregate Blend:</t>
    </r>
    <r>
      <rPr>
        <sz val="11"/>
        <rFont val="Calibri"/>
        <family val="2"/>
        <scheme val="minor"/>
      </rPr>
      <t xml:space="preserve"> Enter the percentages of all the aggregates in the mixture</t>
    </r>
  </si>
  <si>
    <r>
      <rPr>
        <i/>
        <sz val="11"/>
        <rFont val="Calibri"/>
        <family val="2"/>
        <scheme val="minor"/>
      </rPr>
      <t>Agg Quality Update</t>
    </r>
    <r>
      <rPr>
        <sz val="11"/>
        <rFont val="Calibri"/>
        <family val="2"/>
        <scheme val="minor"/>
      </rPr>
      <t>: Enter "See Agg Quality Updtate Section"</t>
    </r>
  </si>
  <si>
    <r>
      <rPr>
        <i/>
        <sz val="11"/>
        <rFont val="Calibri"/>
        <family val="2"/>
        <scheme val="minor"/>
      </rPr>
      <t>Aggregate Blend:</t>
    </r>
    <r>
      <rPr>
        <sz val="11"/>
        <rFont val="Calibri"/>
        <family val="2"/>
        <scheme val="minor"/>
      </rPr>
      <t xml:space="preserve"> Coarse A (10%)/Coarse B (45%)/Fine A (45%)</t>
    </r>
  </si>
  <si>
    <t>If it doesn't all fit, then state "See Remarks / Comments Section" and include all the percentages there</t>
  </si>
  <si>
    <r>
      <rPr>
        <i/>
        <sz val="11"/>
        <rFont val="Calibri"/>
        <family val="2"/>
        <scheme val="minor"/>
      </rPr>
      <t>Agg Quality Update:</t>
    </r>
    <r>
      <rPr>
        <sz val="11"/>
        <rFont val="Calibri"/>
        <family val="2"/>
        <scheme val="minor"/>
      </rPr>
      <t xml:space="preserve"> See Agg Quality Update Section</t>
    </r>
  </si>
  <si>
    <t>Modifiation Made to Mix Design (Level2)</t>
  </si>
  <si>
    <r>
      <rPr>
        <b/>
        <i/>
        <sz val="11"/>
        <color theme="1"/>
        <rFont val="Calibri"/>
        <family val="2"/>
        <scheme val="minor"/>
      </rPr>
      <t>BEST PRACTICE:</t>
    </r>
    <r>
      <rPr>
        <sz val="11"/>
        <color theme="1"/>
        <rFont val="Calibri"/>
        <family val="2"/>
        <scheme val="minor"/>
      </rPr>
      <t xml:space="preserve"> When doing a Level 2 mod, provide additonal explanation in the Remarks/Comments section to ensure clarity for the engineer to approve the modification timely.</t>
    </r>
  </si>
  <si>
    <t>Total Cementitous QTY (HES/SHES)</t>
  </si>
  <si>
    <t>Enter the new total cementitous qty</t>
  </si>
  <si>
    <t xml:space="preserve">Total Cementitous 625 lbs. </t>
  </si>
  <si>
    <t>Remarks:</t>
  </si>
  <si>
    <t>In the Remarks / Comments section - provide the breakdown of the cementitous qty and new percentage of SCM replacement (Ex: Total Cementitious 625 lbs: Cement 455.5 lbs / FA 169.5 lbs (SCM Replacement Rate: 27.1%))</t>
  </si>
  <si>
    <t>SCM Replacement Rate</t>
  </si>
  <si>
    <t>Enter the new replacement rate for the SCM's</t>
  </si>
  <si>
    <t>Example: Old SCM Replacement Rate 30% - HES mixture changes SCM rate to 27.1%</t>
  </si>
  <si>
    <t>Example: Old SCM Replacement Rate 30% - FA supply change, new replacement rate 27.1%</t>
  </si>
  <si>
    <t>Fly Ash Class F Source (Pavement/Barrier)</t>
  </si>
  <si>
    <t>EM Resources - Prairie State (SG 2.58)</t>
  </si>
  <si>
    <t>Slag Source (different grade)</t>
  </si>
  <si>
    <t>Enter the source, location, grade, and the specific gravity of the new slag source</t>
  </si>
  <si>
    <t>Heidelberg - Middlebranch Grade 120 (SG 2.67)</t>
  </si>
  <si>
    <t>Add Type B or D Admixture (not on APL)</t>
  </si>
  <si>
    <t>Fosroc - Auracast 270 Type B</t>
  </si>
  <si>
    <t>Remove Type B or D Admixture (not on APL)</t>
  </si>
  <si>
    <t>Fosroc - Auracast 270 Type B - Removed</t>
  </si>
  <si>
    <t>Aggregate Quality Update</t>
  </si>
  <si>
    <t>Update the aggregate quality data with the most current quality data on the APL OR update to the new SG &amp; Absorption that contractor performed</t>
  </si>
  <si>
    <t>Enter the source name, source ID #, Test #, SG (OD), Absorb (%) and the updated SSD weight for the mix design</t>
  </si>
  <si>
    <t>Remarks / Comments</t>
  </si>
  <si>
    <t>This section is to be used to explain anything that would assist in the communication and approval of the modifications being requested.</t>
  </si>
  <si>
    <t>Name of certified PCC TEC II that is making the modification request. This does not have to be the same person that created the mix design</t>
  </si>
  <si>
    <t>Adam Paver</t>
  </si>
  <si>
    <t>Signature of the certified indivual requesting the modification. (either ink or digital)</t>
  </si>
  <si>
    <t>Enter the HTCP # of the PCC TEC II</t>
  </si>
  <si>
    <t>Date the modification is submitted to the project staff</t>
  </si>
  <si>
    <t>Enter the name of the PCC MDC certified individual that is approving the mix design. This is only requied for a 
Level 2 modification. If a Level 1 modification is submitted, N/A can be entered.</t>
  </si>
  <si>
    <r>
      <rPr>
        <i/>
        <sz val="11"/>
        <rFont val="Calibri"/>
        <family val="2"/>
        <scheme val="minor"/>
      </rPr>
      <t>Level 1</t>
    </r>
    <r>
      <rPr>
        <sz val="11"/>
        <rFont val="Calibri"/>
        <family val="2"/>
        <scheme val="minor"/>
      </rPr>
      <t>: N/A</t>
    </r>
  </si>
  <si>
    <r>
      <rPr>
        <i/>
        <sz val="11"/>
        <rFont val="Calibri"/>
        <family val="2"/>
        <scheme val="minor"/>
      </rPr>
      <t xml:space="preserve">Level 2: </t>
    </r>
    <r>
      <rPr>
        <sz val="11"/>
        <rFont val="Calibri"/>
        <family val="2"/>
        <scheme val="minor"/>
      </rPr>
      <t>Matthew Overton</t>
    </r>
  </si>
  <si>
    <t>Signature of the certified indivual approving the modification. (either ink or digital)</t>
  </si>
  <si>
    <t>Matthew Overton</t>
  </si>
  <si>
    <t>Enter the HTCP # of the PCC MDC</t>
  </si>
  <si>
    <t>Date the PCC MDC approves the modification. Modification approval needs to be sent to contractor same day</t>
  </si>
  <si>
    <t xml:space="preserve">BTS Approval Needed for: </t>
  </si>
  <si>
    <t>State what is needed for BTS to approve. (ie: cement soure not on APL, aggregate source not on APL, silicia fume, blended SCM, alternative SCM, HRWR, hydration controlling admixture)</t>
  </si>
  <si>
    <t>Adjusting cementitious quantity on cement source that is not on APL, but was approved for project use.</t>
  </si>
  <si>
    <t>BTS Engineer Name (Print)</t>
  </si>
  <si>
    <t>Enter the name of the BTS employee that is approving the mix modification</t>
  </si>
  <si>
    <t>Eric Maleficient</t>
  </si>
  <si>
    <t>Signature of theBTS employee approving the modification. (either ink or digital)</t>
  </si>
  <si>
    <t>Date the BTS engineer approves the mix modification</t>
  </si>
  <si>
    <t xml:space="preserve">CONCRETE MIXTURE DESIGN - COMBINED AGGREGATE GRADATION              </t>
  </si>
  <si>
    <t>DT2220</t>
  </si>
  <si>
    <r>
      <t>Version 1</t>
    </r>
    <r>
      <rPr>
        <b/>
        <sz val="9"/>
        <rFont val="Calibri"/>
        <family val="2"/>
        <scheme val="minor"/>
      </rPr>
      <t xml:space="preserve"> ( Mix Modification Date)</t>
    </r>
  </si>
  <si>
    <r>
      <t>Version 2</t>
    </r>
    <r>
      <rPr>
        <b/>
        <sz val="9"/>
        <rFont val="Calibri"/>
        <family val="2"/>
        <scheme val="minor"/>
      </rPr>
      <t xml:space="preserve"> ( Mix Modification Date)</t>
    </r>
  </si>
  <si>
    <r>
      <t>Version 3</t>
    </r>
    <r>
      <rPr>
        <b/>
        <sz val="9"/>
        <rFont val="Calibri"/>
        <family val="2"/>
        <scheme val="minor"/>
      </rPr>
      <t xml:space="preserve"> ( Mix Modification Date)</t>
    </r>
  </si>
  <si>
    <r>
      <t>Version 4</t>
    </r>
    <r>
      <rPr>
        <b/>
        <sz val="9"/>
        <rFont val="Calibri"/>
        <family val="2"/>
        <scheme val="minor"/>
      </rPr>
      <t xml:space="preserve"> ( Mix Modification Date)</t>
    </r>
  </si>
  <si>
    <r>
      <t>Version 5</t>
    </r>
    <r>
      <rPr>
        <b/>
        <sz val="9"/>
        <rFont val="Calibri"/>
        <family val="2"/>
        <scheme val="minor"/>
      </rPr>
      <t xml:space="preserve"> ( Mix Modification Date)</t>
    </r>
  </si>
  <si>
    <r>
      <t xml:space="preserve">MODIFICATION </t>
    </r>
    <r>
      <rPr>
        <b/>
        <sz val="10"/>
        <rFont val="Calibri"/>
        <family val="2"/>
        <scheme val="minor"/>
      </rPr>
      <t>(Version 1)</t>
    </r>
  </si>
  <si>
    <t>Modification Made to Mix Design (Level 2)</t>
  </si>
  <si>
    <t>AGGREGATE QUALITY UPDATE</t>
  </si>
  <si>
    <t>Updated SSD Weight</t>
  </si>
  <si>
    <t>Remarks / Comments:</t>
  </si>
  <si>
    <t>BTS Approval Needed for:</t>
  </si>
  <si>
    <t xml:space="preserve"> BTS Engineer Name (Print)</t>
  </si>
  <si>
    <r>
      <t xml:space="preserve">MODIFICATION </t>
    </r>
    <r>
      <rPr>
        <b/>
        <sz val="10"/>
        <rFont val="Calibri"/>
        <family val="2"/>
        <scheme val="minor"/>
      </rPr>
      <t>(Version 2)</t>
    </r>
  </si>
  <si>
    <r>
      <t xml:space="preserve">MODIFICATION </t>
    </r>
    <r>
      <rPr>
        <b/>
        <sz val="10"/>
        <rFont val="Calibri"/>
        <family val="2"/>
        <scheme val="minor"/>
      </rPr>
      <t>(Version 3)</t>
    </r>
  </si>
  <si>
    <r>
      <t xml:space="preserve">MODIFICATION </t>
    </r>
    <r>
      <rPr>
        <b/>
        <sz val="10"/>
        <rFont val="Calibri"/>
        <family val="2"/>
        <scheme val="minor"/>
      </rPr>
      <t>(Version 4)</t>
    </r>
  </si>
  <si>
    <r>
      <t xml:space="preserve">MODIFICATION </t>
    </r>
    <r>
      <rPr>
        <b/>
        <sz val="10"/>
        <rFont val="Calibri"/>
        <family val="2"/>
        <scheme val="minor"/>
      </rPr>
      <t>(Version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</si>
</sst>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0.00;[Red]0.00"/>
    <numFmt numFmtId="166" formatCode="0;[Red]0"/>
    <numFmt numFmtId="167" formatCode="0.0;[Red]0.0"/>
    <numFmt numFmtId="168" formatCode="0.000"/>
    <numFmt numFmtId="169" formatCode="[$-409]d\-mmm\-yy;@"/>
    <numFmt numFmtId="170" formatCode="0.00000"/>
    <numFmt numFmtId="171" formatCode="0.0000"/>
    <numFmt numFmtId="172" formatCode="mm/dd/yy;@"/>
    <numFmt numFmtId="173" formatCode="0.0%"/>
    <numFmt numFmtId="174" formatCode="0.0000000000000000000000"/>
    <numFmt numFmtId="175" formatCode="[&lt;=9999999]###\-####;\(###\)\ ###\-####"/>
    <numFmt numFmtId="176" formatCode="0.000000"/>
    <numFmt numFmtId="177" formatCode="0.00000000"/>
  </numFmts>
  <fonts count="93" x14ac:knownFonts="1">
    <font>
      <sz val="11"/>
      <color theme="1"/>
      <name val="Calibri"/>
      <family val="2"/>
      <scheme val="minor"/>
    </font>
    <font>
      <sz val="10"/>
      <name val="Arial"/>
      <family val="2"/>
    </font>
    <font>
      <sz val="12"/>
      <name val="Times New Roman"/>
      <family val="1"/>
    </font>
    <font>
      <b/>
      <sz val="12"/>
      <name val="Times New Roman"/>
      <family val="1"/>
    </font>
    <font>
      <sz val="10"/>
      <name val="Times New Roman"/>
      <family val="1"/>
    </font>
    <font>
      <sz val="11"/>
      <name val="Times New Roman"/>
      <family val="1"/>
    </font>
    <font>
      <sz val="9"/>
      <name val="Times New Roman"/>
      <family val="1"/>
    </font>
    <font>
      <b/>
      <sz val="12"/>
      <color rgb="FFFF0000"/>
      <name val="Times New Roman"/>
      <family val="1"/>
    </font>
    <font>
      <i/>
      <sz val="12"/>
      <name val="Times New Roman"/>
      <family val="1"/>
    </font>
    <font>
      <vertAlign val="subscript"/>
      <sz val="12"/>
      <name val="Times New Roman"/>
      <family val="1"/>
    </font>
    <font>
      <i/>
      <vertAlign val="subscript"/>
      <sz val="12"/>
      <name val="Times New Roman"/>
      <family val="1"/>
    </font>
    <font>
      <sz val="8"/>
      <color rgb="FF000000"/>
      <name val="Segoe UI"/>
      <family val="2"/>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i/>
      <sz val="11"/>
      <name val="Calibri"/>
      <family val="2"/>
      <scheme val="minor"/>
    </font>
    <font>
      <i/>
      <sz val="11"/>
      <name val="Calibri"/>
      <family val="2"/>
      <scheme val="minor"/>
    </font>
    <font>
      <sz val="11"/>
      <color theme="1"/>
      <name val="Calibri"/>
      <family val="2"/>
      <scheme val="minor"/>
    </font>
    <font>
      <sz val="26"/>
      <name val="Times New Roman"/>
      <family val="1"/>
    </font>
    <font>
      <vertAlign val="superscript"/>
      <sz val="11"/>
      <name val="Calibri"/>
      <family val="2"/>
      <scheme val="minor"/>
    </font>
    <font>
      <sz val="8"/>
      <name val="Calibri"/>
      <family val="2"/>
      <scheme val="minor"/>
    </font>
    <font>
      <u/>
      <sz val="11"/>
      <color theme="10"/>
      <name val="Calibri"/>
      <family val="2"/>
      <scheme val="minor"/>
    </font>
    <font>
      <b/>
      <sz val="10"/>
      <name val="Calibri"/>
      <family val="2"/>
      <scheme val="minor"/>
    </font>
    <font>
      <sz val="12"/>
      <name val="Calibri"/>
      <family val="2"/>
      <scheme val="minor"/>
    </font>
    <font>
      <b/>
      <sz val="12"/>
      <name val="Calibri"/>
      <family val="2"/>
      <scheme val="minor"/>
    </font>
    <font>
      <sz val="10"/>
      <name val="Calibri"/>
      <family val="2"/>
      <scheme val="minor"/>
    </font>
    <font>
      <sz val="7"/>
      <name val="Calibri"/>
      <family val="2"/>
      <scheme val="minor"/>
    </font>
    <font>
      <b/>
      <sz val="12"/>
      <color theme="1"/>
      <name val="Calibri"/>
      <family val="2"/>
      <scheme val="minor"/>
    </font>
    <font>
      <b/>
      <sz val="12"/>
      <color theme="0"/>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
      <b/>
      <vertAlign val="superscript"/>
      <sz val="10"/>
      <name val="Calibri"/>
      <family val="2"/>
      <scheme val="minor"/>
    </font>
    <font>
      <b/>
      <sz val="12"/>
      <name val="Calibri"/>
      <family val="2"/>
    </font>
    <font>
      <b/>
      <sz val="10"/>
      <name val="Calibri"/>
      <family val="2"/>
    </font>
    <font>
      <b/>
      <sz val="11"/>
      <name val="Calibri"/>
      <family val="2"/>
    </font>
    <font>
      <sz val="12"/>
      <name val="Calibri"/>
      <family val="2"/>
    </font>
    <font>
      <sz val="10"/>
      <name val="Calibri"/>
      <family val="2"/>
    </font>
    <font>
      <b/>
      <sz val="12"/>
      <color rgb="FFFF0000"/>
      <name val="Calibri"/>
      <family val="2"/>
    </font>
    <font>
      <sz val="12"/>
      <color indexed="10"/>
      <name val="Calibri"/>
      <family val="2"/>
    </font>
    <font>
      <b/>
      <sz val="12"/>
      <color indexed="48"/>
      <name val="Calibri"/>
      <family val="2"/>
    </font>
    <font>
      <sz val="12"/>
      <color rgb="FF0070C0"/>
      <name val="Calibri"/>
      <family val="2"/>
    </font>
    <font>
      <sz val="12"/>
      <color theme="0"/>
      <name val="Calibri"/>
      <family val="2"/>
    </font>
    <font>
      <sz val="12"/>
      <color theme="1"/>
      <name val="Calibri"/>
      <family val="2"/>
    </font>
    <font>
      <sz val="12"/>
      <color rgb="FFFF0000"/>
      <name val="Calibri"/>
      <family val="2"/>
    </font>
    <font>
      <sz val="11"/>
      <color theme="1"/>
      <name val="Calibri"/>
      <family val="2"/>
    </font>
    <font>
      <b/>
      <u/>
      <sz val="12"/>
      <name val="Calibri"/>
      <family val="2"/>
    </font>
    <font>
      <b/>
      <sz val="14"/>
      <name val="Calibri"/>
      <family val="2"/>
    </font>
    <font>
      <b/>
      <u/>
      <sz val="14"/>
      <name val="Calibri"/>
      <family val="2"/>
    </font>
    <font>
      <b/>
      <sz val="10"/>
      <color rgb="FFFF0000"/>
      <name val="Calibri"/>
      <family val="2"/>
    </font>
    <font>
      <sz val="11"/>
      <name val="Calibri"/>
      <family val="2"/>
    </font>
    <font>
      <vertAlign val="superscript"/>
      <sz val="12"/>
      <name val="Calibri"/>
      <family val="2"/>
    </font>
    <font>
      <b/>
      <sz val="12"/>
      <color indexed="12"/>
      <name val="Calibri"/>
      <family val="2"/>
    </font>
    <font>
      <sz val="16"/>
      <color theme="1"/>
      <name val="Calibri"/>
      <family val="2"/>
    </font>
    <font>
      <sz val="12"/>
      <color indexed="81"/>
      <name val="Tahoma"/>
      <family val="2"/>
    </font>
    <font>
      <vertAlign val="superscript"/>
      <sz val="12"/>
      <color theme="1"/>
      <name val="Calibri"/>
      <family val="2"/>
    </font>
    <font>
      <sz val="7"/>
      <name val="Calibri"/>
      <family val="2"/>
    </font>
    <font>
      <u/>
      <sz val="12"/>
      <name val="Calibri"/>
      <family val="2"/>
    </font>
    <font>
      <b/>
      <sz val="14"/>
      <color rgb="FFFF0000"/>
      <name val="Calibri"/>
      <family val="2"/>
    </font>
    <font>
      <sz val="9"/>
      <color indexed="81"/>
      <name val="Tahoma"/>
      <family val="2"/>
    </font>
    <font>
      <b/>
      <sz val="9"/>
      <color indexed="81"/>
      <name val="Tahoma"/>
      <family val="2"/>
    </font>
    <font>
      <b/>
      <i/>
      <sz val="10"/>
      <name val="Calibri"/>
      <family val="2"/>
      <scheme val="minor"/>
    </font>
    <font>
      <sz val="9"/>
      <name val="Calibri"/>
      <family val="2"/>
      <scheme val="minor"/>
    </font>
    <font>
      <i/>
      <sz val="10"/>
      <color rgb="FFFF0000"/>
      <name val="Calibri"/>
      <family val="2"/>
      <scheme val="minor"/>
    </font>
    <font>
      <sz val="18"/>
      <color theme="1"/>
      <name val="Calibri"/>
      <family val="2"/>
      <scheme val="minor"/>
    </font>
    <font>
      <b/>
      <sz val="12"/>
      <color indexed="81"/>
      <name val="Tahoma"/>
      <family val="2"/>
    </font>
    <font>
      <b/>
      <u/>
      <sz val="12"/>
      <color indexed="81"/>
      <name val="Tahoma"/>
      <family val="2"/>
    </font>
    <font>
      <i/>
      <sz val="11"/>
      <color theme="1"/>
      <name val="Calibri"/>
      <family val="2"/>
      <scheme val="minor"/>
    </font>
    <font>
      <b/>
      <sz val="16"/>
      <color rgb="FFFF0000"/>
      <name val="Calibri"/>
      <family val="2"/>
    </font>
    <font>
      <b/>
      <sz val="14"/>
      <color rgb="FFFF0000"/>
      <name val="Calibri"/>
      <family val="2"/>
      <scheme val="minor"/>
    </font>
    <font>
      <sz val="12"/>
      <color theme="1"/>
      <name val="Calibri"/>
      <family val="2"/>
      <scheme val="minor"/>
    </font>
    <font>
      <sz val="11"/>
      <color indexed="81"/>
      <name val="Tahoma"/>
      <family val="2"/>
    </font>
    <font>
      <b/>
      <sz val="11"/>
      <color rgb="FFC00000"/>
      <name val="Calibri"/>
      <family val="2"/>
      <scheme val="minor"/>
    </font>
    <font>
      <b/>
      <sz val="14"/>
      <color rgb="FFC00000"/>
      <name val="Calibri"/>
      <family val="2"/>
      <scheme val="minor"/>
    </font>
    <font>
      <sz val="11"/>
      <color rgb="FFC00000"/>
      <name val="Calibri"/>
      <family val="2"/>
      <scheme val="minor"/>
    </font>
    <font>
      <u/>
      <sz val="11"/>
      <color rgb="FFC00000"/>
      <name val="Calibri"/>
      <family val="2"/>
      <scheme val="minor"/>
    </font>
    <font>
      <b/>
      <sz val="9"/>
      <color rgb="FFA20000"/>
      <name val="Calibri"/>
      <family val="2"/>
      <scheme val="minor"/>
    </font>
    <font>
      <b/>
      <sz val="10"/>
      <color rgb="FFA20000"/>
      <name val="Calibri"/>
      <family val="2"/>
      <scheme val="minor"/>
    </font>
    <font>
      <b/>
      <sz val="12"/>
      <color rgb="FFA20000"/>
      <name val="Calibri"/>
      <family val="2"/>
    </font>
    <font>
      <b/>
      <sz val="11"/>
      <color rgb="FFA20000"/>
      <name val="Calibri"/>
      <family val="2"/>
    </font>
    <font>
      <b/>
      <sz val="14"/>
      <color rgb="FFA20000"/>
      <name val="Calibri"/>
      <family val="2"/>
    </font>
    <font>
      <b/>
      <sz val="12"/>
      <color theme="0" tint="-0.14999847407452621"/>
      <name val="Calibri"/>
      <family val="2"/>
    </font>
    <font>
      <b/>
      <u/>
      <sz val="11"/>
      <color rgb="FFAA0000"/>
      <name val="Calibri"/>
      <family val="2"/>
      <scheme val="minor"/>
    </font>
    <font>
      <b/>
      <sz val="14"/>
      <color rgb="FFAA0000"/>
      <name val="Calibri"/>
      <family val="2"/>
    </font>
    <font>
      <sz val="8"/>
      <color theme="1"/>
      <name val="Segoe UI"/>
      <family val="2"/>
    </font>
    <font>
      <sz val="11"/>
      <name val="Aptos Narrow"/>
      <family val="2"/>
    </font>
    <font>
      <b/>
      <i/>
      <sz val="11"/>
      <color theme="1"/>
      <name val="Calibri"/>
      <family val="2"/>
      <scheme val="minor"/>
    </font>
    <font>
      <sz val="11"/>
      <name val="Lucida Calligraphy"/>
      <family val="4"/>
    </font>
    <font>
      <b/>
      <sz val="10"/>
      <color theme="0"/>
      <name val="Calibri"/>
      <family val="2"/>
      <scheme val="minor"/>
    </font>
    <font>
      <b/>
      <sz val="9"/>
      <name val="Calibri"/>
      <family val="2"/>
      <scheme val="minor"/>
    </font>
    <font>
      <b/>
      <sz val="10"/>
      <name val="Lucida Calligraphy"/>
      <family val="4"/>
    </font>
  </fonts>
  <fills count="1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rgb="FFAA0000"/>
        <bgColor indexed="64"/>
      </patternFill>
    </fill>
    <fill>
      <patternFill patternType="solid">
        <fgColor rgb="FFF4B084"/>
        <bgColor indexed="64"/>
      </patternFill>
    </fill>
    <fill>
      <patternFill patternType="solid">
        <fgColor rgb="FFFFCC99"/>
        <bgColor indexed="64"/>
      </patternFill>
    </fill>
    <fill>
      <patternFill patternType="solid">
        <fgColor theme="0"/>
        <bgColor indexed="64"/>
      </patternFill>
    </fill>
  </fills>
  <borders count="8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bottom/>
      <diagonal/>
    </border>
  </borders>
  <cellStyleXfs count="5">
    <xf numFmtId="0" fontId="0" fillId="0" borderId="0"/>
    <xf numFmtId="0" fontId="1" fillId="0" borderId="0"/>
    <xf numFmtId="0" fontId="6" fillId="0" borderId="0"/>
    <xf numFmtId="9" fontId="19" fillId="0" borderId="0" applyFont="0" applyFill="0" applyBorder="0" applyAlignment="0" applyProtection="0"/>
    <xf numFmtId="0" fontId="23" fillId="0" borderId="0" applyNumberFormat="0" applyFill="0" applyBorder="0" applyAlignment="0" applyProtection="0"/>
  </cellStyleXfs>
  <cellXfs count="1392">
    <xf numFmtId="0" fontId="0" fillId="0" borderId="0" xfId="0"/>
    <xf numFmtId="0" fontId="2" fillId="0" borderId="0" xfId="0" applyFont="1"/>
    <xf numFmtId="0" fontId="2" fillId="0" borderId="24" xfId="0" applyFont="1" applyBorder="1"/>
    <xf numFmtId="1" fontId="2" fillId="0" borderId="0" xfId="0" applyNumberFormat="1" applyFont="1"/>
    <xf numFmtId="0" fontId="3" fillId="0" borderId="0" xfId="0" applyFont="1"/>
    <xf numFmtId="2" fontId="2" fillId="0" borderId="0" xfId="0" applyNumberFormat="1" applyFont="1"/>
    <xf numFmtId="168" fontId="2" fillId="0" borderId="0" xfId="0" applyNumberFormat="1" applyFont="1"/>
    <xf numFmtId="0" fontId="2" fillId="0" borderId="42" xfId="0" applyFont="1" applyBorder="1"/>
    <xf numFmtId="0" fontId="2" fillId="0" borderId="28" xfId="0" applyFont="1" applyBorder="1"/>
    <xf numFmtId="0" fontId="3" fillId="0" borderId="47" xfId="0" applyFont="1" applyBorder="1"/>
    <xf numFmtId="0" fontId="2" fillId="0" borderId="0" xfId="2" applyFont="1"/>
    <xf numFmtId="0" fontId="2" fillId="0" borderId="0" xfId="0" applyFont="1" applyAlignment="1">
      <alignment horizontal="left"/>
    </xf>
    <xf numFmtId="0" fontId="3" fillId="0" borderId="0" xfId="2" applyFont="1" applyAlignment="1">
      <alignment horizontal="right"/>
    </xf>
    <xf numFmtId="0" fontId="2" fillId="0" borderId="0" xfId="2" applyFont="1" applyAlignment="1">
      <alignment horizontal="left"/>
    </xf>
    <xf numFmtId="0" fontId="2" fillId="0" borderId="0" xfId="2" applyFont="1" applyAlignment="1">
      <alignment horizontal="right"/>
    </xf>
    <xf numFmtId="0" fontId="2" fillId="0" borderId="0" xfId="2" applyFont="1" applyAlignment="1">
      <alignment horizontal="right" vertical="center"/>
    </xf>
    <xf numFmtId="0" fontId="2" fillId="0" borderId="0" xfId="2" applyFont="1" applyAlignment="1">
      <alignment vertical="center"/>
    </xf>
    <xf numFmtId="0" fontId="2" fillId="0" borderId="10" xfId="2" applyFont="1" applyBorder="1"/>
    <xf numFmtId="0" fontId="2" fillId="0" borderId="11" xfId="2" applyFont="1" applyBorder="1"/>
    <xf numFmtId="0" fontId="2" fillId="0" borderId="48" xfId="2" applyFont="1" applyBorder="1"/>
    <xf numFmtId="0" fontId="2" fillId="0" borderId="24" xfId="2" applyFont="1" applyBorder="1" applyAlignment="1">
      <alignment horizontal="center" vertical="center"/>
    </xf>
    <xf numFmtId="0" fontId="2" fillId="0" borderId="14" xfId="2" applyFont="1" applyBorder="1"/>
    <xf numFmtId="0" fontId="2" fillId="0" borderId="9" xfId="2" applyFont="1" applyBorder="1"/>
    <xf numFmtId="0" fontId="2" fillId="0" borderId="51" xfId="2" applyFont="1" applyBorder="1"/>
    <xf numFmtId="0" fontId="2" fillId="0" borderId="38" xfId="2" applyFont="1" applyBorder="1" applyAlignment="1">
      <alignment horizontal="center" vertical="center"/>
    </xf>
    <xf numFmtId="0" fontId="2" fillId="0" borderId="28" xfId="2" applyFont="1" applyBorder="1" applyAlignment="1">
      <alignment vertical="center"/>
    </xf>
    <xf numFmtId="0" fontId="2" fillId="0" borderId="9" xfId="2" applyFont="1" applyBorder="1" applyAlignment="1">
      <alignment horizontal="center"/>
    </xf>
    <xf numFmtId="0" fontId="2" fillId="0" borderId="51" xfId="2" applyFont="1" applyBorder="1" applyAlignment="1">
      <alignment horizontal="center"/>
    </xf>
    <xf numFmtId="0" fontId="2" fillId="0" borderId="51" xfId="2" applyFont="1" applyBorder="1" applyAlignment="1">
      <alignment horizontal="right"/>
    </xf>
    <xf numFmtId="0" fontId="2" fillId="0" borderId="38" xfId="2" applyFont="1" applyBorder="1"/>
    <xf numFmtId="0" fontId="2" fillId="0" borderId="28" xfId="2" applyFont="1" applyBorder="1"/>
    <xf numFmtId="0" fontId="2" fillId="0" borderId="67" xfId="2" applyFont="1" applyBorder="1"/>
    <xf numFmtId="0" fontId="2" fillId="0" borderId="41" xfId="2" applyFont="1" applyBorder="1" applyAlignment="1">
      <alignment horizontal="center"/>
    </xf>
    <xf numFmtId="0" fontId="2" fillId="0" borderId="29" xfId="2" applyFont="1" applyBorder="1" applyAlignment="1">
      <alignment horizontal="center"/>
    </xf>
    <xf numFmtId="0" fontId="2" fillId="0" borderId="0" xfId="2" quotePrefix="1" applyFont="1" applyAlignment="1">
      <alignment horizontal="center" vertical="center"/>
    </xf>
    <xf numFmtId="0" fontId="2" fillId="0" borderId="2" xfId="2" applyFont="1" applyBorder="1" applyAlignment="1">
      <alignment horizontal="center" vertical="center"/>
    </xf>
    <xf numFmtId="0" fontId="2" fillId="0" borderId="2" xfId="2" applyFont="1" applyBorder="1" applyAlignment="1">
      <alignment vertical="center"/>
    </xf>
    <xf numFmtId="0" fontId="2" fillId="0" borderId="15" xfId="2" applyFont="1" applyBorder="1" applyAlignment="1">
      <alignment horizontal="center"/>
    </xf>
    <xf numFmtId="0" fontId="2" fillId="0" borderId="28" xfId="2" applyFont="1" applyBorder="1" applyAlignment="1">
      <alignment horizontal="center"/>
    </xf>
    <xf numFmtId="0" fontId="2" fillId="0" borderId="28" xfId="2" applyFont="1" applyBorder="1" applyAlignment="1">
      <alignment horizontal="center" vertical="center"/>
    </xf>
    <xf numFmtId="0" fontId="2" fillId="0" borderId="34" xfId="2" applyFont="1" applyBorder="1" applyAlignment="1">
      <alignment vertical="center"/>
    </xf>
    <xf numFmtId="0" fontId="2" fillId="0" borderId="42" xfId="2" applyFont="1" applyBorder="1"/>
    <xf numFmtId="0" fontId="2" fillId="0" borderId="35" xfId="2" applyFont="1" applyBorder="1"/>
    <xf numFmtId="0" fontId="2" fillId="0" borderId="0" xfId="2" quotePrefix="1" applyFont="1" applyAlignment="1">
      <alignment horizontal="center"/>
    </xf>
    <xf numFmtId="168" fontId="2" fillId="0" borderId="0" xfId="2" applyNumberFormat="1" applyFont="1" applyAlignment="1">
      <alignment vertical="center"/>
    </xf>
    <xf numFmtId="0" fontId="2" fillId="0" borderId="20" xfId="2" applyFont="1" applyBorder="1"/>
    <xf numFmtId="0" fontId="2" fillId="0" borderId="29" xfId="2" applyFont="1" applyBorder="1"/>
    <xf numFmtId="0" fontId="2" fillId="0" borderId="0" xfId="2" applyFont="1" applyAlignment="1">
      <alignment horizontal="center"/>
    </xf>
    <xf numFmtId="0" fontId="2" fillId="0" borderId="0" xfId="2" applyFont="1" applyAlignment="1">
      <alignment horizontal="center" vertical="center"/>
    </xf>
    <xf numFmtId="168" fontId="2" fillId="0" borderId="0" xfId="2" applyNumberFormat="1" applyFont="1" applyAlignment="1">
      <alignment horizontal="center" vertical="center"/>
    </xf>
    <xf numFmtId="0" fontId="2" fillId="0" borderId="38" xfId="0" applyFont="1" applyBorder="1"/>
    <xf numFmtId="164" fontId="2" fillId="0" borderId="0" xfId="0" applyNumberFormat="1" applyFont="1"/>
    <xf numFmtId="0" fontId="2" fillId="0" borderId="52" xfId="0" applyFont="1" applyBorder="1"/>
    <xf numFmtId="0" fontId="2" fillId="0" borderId="53" xfId="0" applyFont="1" applyBorder="1"/>
    <xf numFmtId="0" fontId="3" fillId="0" borderId="9" xfId="0" applyFont="1" applyBorder="1" applyAlignment="1">
      <alignment horizontal="left"/>
    </xf>
    <xf numFmtId="0" fontId="3" fillId="0" borderId="51" xfId="0" applyFont="1" applyBorder="1" applyAlignment="1">
      <alignment horizontal="left"/>
    </xf>
    <xf numFmtId="0" fontId="3" fillId="0" borderId="53" xfId="0" applyFont="1" applyBorder="1"/>
    <xf numFmtId="164" fontId="2" fillId="0" borderId="9" xfId="0" applyNumberFormat="1" applyFont="1" applyBorder="1" applyAlignment="1">
      <alignment horizontal="left"/>
    </xf>
    <xf numFmtId="0" fontId="2" fillId="0" borderId="9" xfId="0" applyFont="1" applyBorder="1" applyAlignment="1">
      <alignment horizontal="left"/>
    </xf>
    <xf numFmtId="164" fontId="2" fillId="0" borderId="51" xfId="0" applyNumberFormat="1" applyFont="1" applyBorder="1" applyAlignment="1">
      <alignment horizontal="left"/>
    </xf>
    <xf numFmtId="0" fontId="2" fillId="0" borderId="0" xfId="0" applyFont="1" applyAlignment="1">
      <alignment vertical="top"/>
    </xf>
    <xf numFmtId="0" fontId="2" fillId="0" borderId="52" xfId="0" applyFont="1" applyBorder="1" applyAlignment="1">
      <alignment vertical="top"/>
    </xf>
    <xf numFmtId="0" fontId="2" fillId="0" borderId="52" xfId="0" applyFont="1" applyBorder="1" applyAlignment="1">
      <alignment vertical="top" wrapText="1"/>
    </xf>
    <xf numFmtId="0" fontId="2" fillId="0" borderId="22" xfId="0" applyFont="1" applyBorder="1"/>
    <xf numFmtId="0" fontId="2" fillId="0" borderId="37" xfId="0" applyFont="1" applyBorder="1"/>
    <xf numFmtId="0" fontId="2" fillId="0" borderId="17" xfId="0" applyFont="1" applyBorder="1"/>
    <xf numFmtId="168" fontId="2" fillId="0" borderId="17" xfId="0" applyNumberFormat="1" applyFont="1" applyBorder="1"/>
    <xf numFmtId="164" fontId="2" fillId="0" borderId="17" xfId="0" applyNumberFormat="1" applyFont="1" applyBorder="1"/>
    <xf numFmtId="49" fontId="2" fillId="0" borderId="34" xfId="0" applyNumberFormat="1" applyFont="1" applyBorder="1" applyAlignment="1">
      <alignment horizontal="center"/>
    </xf>
    <xf numFmtId="168" fontId="2" fillId="0" borderId="36" xfId="0" applyNumberFormat="1" applyFont="1" applyBorder="1"/>
    <xf numFmtId="49" fontId="2" fillId="0" borderId="24" xfId="0" applyNumberFormat="1" applyFont="1" applyBorder="1" applyAlignment="1">
      <alignment horizontal="center"/>
    </xf>
    <xf numFmtId="164" fontId="2" fillId="0" borderId="52" xfId="0" applyNumberFormat="1" applyFont="1" applyBorder="1"/>
    <xf numFmtId="0" fontId="2" fillId="0" borderId="64" xfId="0" applyFont="1" applyBorder="1"/>
    <xf numFmtId="168" fontId="2" fillId="0" borderId="64" xfId="0" applyNumberFormat="1" applyFont="1" applyBorder="1"/>
    <xf numFmtId="164" fontId="2" fillId="0" borderId="64" xfId="0" applyNumberFormat="1" applyFont="1" applyBorder="1"/>
    <xf numFmtId="49" fontId="2" fillId="0" borderId="38" xfId="0" applyNumberFormat="1" applyFont="1" applyBorder="1" applyAlignment="1">
      <alignment horizontal="center"/>
    </xf>
    <xf numFmtId="168" fontId="2" fillId="0" borderId="39" xfId="0" applyNumberFormat="1" applyFont="1" applyBorder="1"/>
    <xf numFmtId="0" fontId="2" fillId="0" borderId="1" xfId="0" applyFont="1" applyBorder="1"/>
    <xf numFmtId="0" fontId="2" fillId="0" borderId="3" xfId="0" applyFont="1" applyBorder="1"/>
    <xf numFmtId="0" fontId="2" fillId="0" borderId="0" xfId="0" applyFont="1" applyAlignment="1">
      <alignment horizontal="centerContinuous"/>
    </xf>
    <xf numFmtId="0" fontId="2" fillId="0" borderId="4" xfId="0" applyFont="1" applyBorder="1"/>
    <xf numFmtId="0" fontId="2" fillId="0" borderId="5" xfId="0" applyFont="1" applyBorder="1"/>
    <xf numFmtId="167" fontId="2" fillId="0" borderId="17" xfId="0" applyNumberFormat="1" applyFont="1" applyBorder="1"/>
    <xf numFmtId="0" fontId="2" fillId="0" borderId="0" xfId="3" applyNumberFormat="1" applyFont="1" applyProtection="1"/>
    <xf numFmtId="1" fontId="2" fillId="0" borderId="4" xfId="0" applyNumberFormat="1" applyFont="1" applyBorder="1" applyAlignment="1">
      <alignment horizontal="right"/>
    </xf>
    <xf numFmtId="1" fontId="2" fillId="0" borderId="5" xfId="0" applyNumberFormat="1" applyFont="1" applyBorder="1" applyAlignment="1">
      <alignment horizontal="right"/>
    </xf>
    <xf numFmtId="168" fontId="2" fillId="0" borderId="5" xfId="0" applyNumberFormat="1" applyFont="1" applyBorder="1"/>
    <xf numFmtId="1" fontId="2" fillId="0" borderId="4" xfId="0" applyNumberFormat="1" applyFont="1" applyBorder="1"/>
    <xf numFmtId="1" fontId="2" fillId="0" borderId="5" xfId="0" applyNumberFormat="1" applyFont="1" applyBorder="1"/>
    <xf numFmtId="9" fontId="2" fillId="0" borderId="0" xfId="3" applyFont="1" applyBorder="1" applyProtection="1"/>
    <xf numFmtId="0" fontId="2" fillId="0" borderId="0" xfId="0" applyFont="1" applyAlignment="1">
      <alignment horizontal="right" vertical="center"/>
    </xf>
    <xf numFmtId="0" fontId="2" fillId="0" borderId="6" xfId="0" applyFont="1" applyBorder="1"/>
    <xf numFmtId="0" fontId="2" fillId="0" borderId="8" xfId="0" applyFont="1" applyBorder="1"/>
    <xf numFmtId="167" fontId="2" fillId="0" borderId="64" xfId="0" applyNumberFormat="1" applyFont="1" applyBorder="1"/>
    <xf numFmtId="168" fontId="2" fillId="0" borderId="8" xfId="0" applyNumberFormat="1" applyFont="1" applyBorder="1"/>
    <xf numFmtId="1" fontId="2" fillId="0" borderId="6" xfId="0" applyNumberFormat="1" applyFont="1" applyBorder="1"/>
    <xf numFmtId="1" fontId="2" fillId="0" borderId="8" xfId="0" applyNumberFormat="1" applyFont="1" applyBorder="1"/>
    <xf numFmtId="0" fontId="2" fillId="0" borderId="0" xfId="0" applyFont="1" applyAlignment="1">
      <alignment horizontal="right"/>
    </xf>
    <xf numFmtId="0" fontId="2" fillId="0" borderId="2" xfId="0" applyFont="1" applyBorder="1"/>
    <xf numFmtId="2" fontId="2" fillId="0" borderId="5" xfId="0" applyNumberFormat="1" applyFont="1" applyBorder="1"/>
    <xf numFmtId="0" fontId="2" fillId="0" borderId="7" xfId="0" applyFont="1" applyBorder="1"/>
    <xf numFmtId="2" fontId="2" fillId="0" borderId="8" xfId="0" applyNumberFormat="1" applyFont="1" applyBorder="1"/>
    <xf numFmtId="0" fontId="2" fillId="0" borderId="34" xfId="0" applyFont="1" applyBorder="1"/>
    <xf numFmtId="2" fontId="2" fillId="0" borderId="42" xfId="0" applyNumberFormat="1" applyFont="1" applyBorder="1" applyAlignment="1">
      <alignment horizontal="left"/>
    </xf>
    <xf numFmtId="0" fontId="2" fillId="0" borderId="35" xfId="0" applyFont="1" applyBorder="1"/>
    <xf numFmtId="2" fontId="2" fillId="0" borderId="0" xfId="0" applyNumberFormat="1" applyFont="1" applyAlignment="1">
      <alignment horizontal="left"/>
    </xf>
    <xf numFmtId="168" fontId="2" fillId="0" borderId="24" xfId="0" applyNumberFormat="1" applyFont="1" applyBorder="1"/>
    <xf numFmtId="0" fontId="2" fillId="0" borderId="20" xfId="0" applyFont="1" applyBorder="1"/>
    <xf numFmtId="168" fontId="2" fillId="0" borderId="20" xfId="0" applyNumberFormat="1" applyFont="1" applyBorder="1"/>
    <xf numFmtId="2" fontId="2" fillId="0" borderId="20" xfId="0" applyNumberFormat="1" applyFont="1" applyBorder="1"/>
    <xf numFmtId="168" fontId="2" fillId="0" borderId="34" xfId="0" applyNumberFormat="1" applyFont="1" applyBorder="1"/>
    <xf numFmtId="0" fontId="2" fillId="0" borderId="29" xfId="0" applyFont="1" applyBorder="1"/>
    <xf numFmtId="168" fontId="2" fillId="0" borderId="42" xfId="0" applyNumberFormat="1" applyFont="1" applyBorder="1"/>
    <xf numFmtId="170" fontId="2" fillId="0" borderId="42" xfId="0" applyNumberFormat="1" applyFont="1" applyBorder="1"/>
    <xf numFmtId="170" fontId="2" fillId="0" borderId="0" xfId="0" applyNumberFormat="1" applyFont="1"/>
    <xf numFmtId="168" fontId="2" fillId="0" borderId="38" xfId="0" applyNumberFormat="1" applyFont="1" applyBorder="1"/>
    <xf numFmtId="168" fontId="2" fillId="0" borderId="28" xfId="0" applyNumberFormat="1" applyFont="1" applyBorder="1"/>
    <xf numFmtId="170" fontId="2" fillId="0" borderId="28" xfId="0" applyNumberFormat="1" applyFont="1" applyBorder="1"/>
    <xf numFmtId="168" fontId="2" fillId="0" borderId="52" xfId="2" applyNumberFormat="1" applyFont="1" applyBorder="1" applyAlignment="1">
      <alignment horizontal="center" vertical="center"/>
    </xf>
    <xf numFmtId="2" fontId="2" fillId="3" borderId="52" xfId="2" applyNumberFormat="1" applyFont="1" applyFill="1" applyBorder="1" applyAlignment="1" applyProtection="1">
      <alignment horizontal="center" vertical="center"/>
      <protection locked="0"/>
    </xf>
    <xf numFmtId="9" fontId="2" fillId="0" borderId="0" xfId="3" applyFont="1" applyProtection="1"/>
    <xf numFmtId="171" fontId="2" fillId="0" borderId="0" xfId="3" applyNumberFormat="1" applyFont="1" applyProtection="1"/>
    <xf numFmtId="0" fontId="2" fillId="0" borderId="0" xfId="0" applyFont="1" applyAlignment="1">
      <alignment horizontal="center" vertical="center"/>
    </xf>
    <xf numFmtId="0" fontId="2" fillId="0" borderId="36" xfId="0" applyFont="1" applyBorder="1"/>
    <xf numFmtId="171" fontId="2" fillId="0" borderId="36" xfId="0" applyNumberFormat="1" applyFont="1" applyBorder="1"/>
    <xf numFmtId="171" fontId="2" fillId="0" borderId="39" xfId="0" applyNumberFormat="1" applyFont="1" applyBorder="1"/>
    <xf numFmtId="0" fontId="0" fillId="0" borderId="0" xfId="0" applyAlignment="1">
      <alignment horizontal="center" vertical="center"/>
    </xf>
    <xf numFmtId="0" fontId="0" fillId="0" borderId="0" xfId="0" applyAlignment="1">
      <alignment vertical="center"/>
    </xf>
    <xf numFmtId="0" fontId="0" fillId="0" borderId="52" xfId="0" applyBorder="1" applyAlignment="1">
      <alignment horizontal="center" vertical="center"/>
    </xf>
    <xf numFmtId="164" fontId="0" fillId="0" borderId="52"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56" xfId="0" applyBorder="1" applyAlignment="1">
      <alignment horizontal="center" vertical="center"/>
    </xf>
    <xf numFmtId="0" fontId="0" fillId="0" borderId="62"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40" xfId="0" applyBorder="1" applyAlignment="1">
      <alignment horizontal="center" vertical="center"/>
    </xf>
    <xf numFmtId="0" fontId="0" fillId="0" borderId="50" xfId="0" applyBorder="1" applyAlignment="1">
      <alignment horizontal="center" vertical="center"/>
    </xf>
    <xf numFmtId="0" fontId="0" fillId="0" borderId="33" xfId="0" applyBorder="1" applyAlignment="1">
      <alignment horizontal="center" vertical="center"/>
    </xf>
    <xf numFmtId="164" fontId="15" fillId="0" borderId="50" xfId="0" applyNumberFormat="1" applyFont="1" applyBorder="1" applyAlignment="1">
      <alignment horizontal="center" vertical="center"/>
    </xf>
    <xf numFmtId="164" fontId="15" fillId="0" borderId="43" xfId="0" applyNumberFormat="1" applyFont="1" applyBorder="1" applyAlignment="1">
      <alignment horizontal="center" vertical="center"/>
    </xf>
    <xf numFmtId="164" fontId="0" fillId="0" borderId="59" xfId="0" applyNumberFormat="1" applyBorder="1" applyAlignment="1">
      <alignment horizontal="center" vertical="center"/>
    </xf>
    <xf numFmtId="2" fontId="0" fillId="0" borderId="33" xfId="0" applyNumberFormat="1" applyBorder="1" applyAlignment="1">
      <alignment horizontal="center" vertical="center"/>
    </xf>
    <xf numFmtId="0" fontId="15" fillId="0" borderId="0" xfId="0" applyFont="1" applyAlignment="1">
      <alignment horizontal="center" vertical="center"/>
    </xf>
    <xf numFmtId="0" fontId="15" fillId="0" borderId="0" xfId="0" quotePrefix="1" applyFont="1" applyAlignment="1">
      <alignment horizontal="center" vertical="center"/>
    </xf>
    <xf numFmtId="1" fontId="15" fillId="0" borderId="0" xfId="0" applyNumberFormat="1" applyFont="1" applyAlignment="1">
      <alignment horizontal="center" vertical="center"/>
    </xf>
    <xf numFmtId="0" fontId="0" fillId="0" borderId="64" xfId="0" applyBorder="1" applyAlignment="1">
      <alignment horizontal="center" vertical="center"/>
    </xf>
    <xf numFmtId="0" fontId="0" fillId="0" borderId="8" xfId="0" applyBorder="1" applyAlignment="1">
      <alignment horizontal="center" vertical="center"/>
    </xf>
    <xf numFmtId="0" fontId="0" fillId="0" borderId="51" xfId="0" applyBorder="1" applyAlignment="1">
      <alignment horizontal="center" vertical="center"/>
    </xf>
    <xf numFmtId="0" fontId="0" fillId="0" borderId="55" xfId="0" applyBorder="1" applyAlignment="1">
      <alignment horizontal="center" vertical="center"/>
    </xf>
    <xf numFmtId="1" fontId="0" fillId="0" borderId="60" xfId="0" applyNumberFormat="1" applyBorder="1" applyAlignment="1">
      <alignment horizontal="center" vertical="center"/>
    </xf>
    <xf numFmtId="1" fontId="0" fillId="0" borderId="62" xfId="0" applyNumberFormat="1" applyBorder="1" applyAlignment="1">
      <alignment horizontal="center" vertical="center"/>
    </xf>
    <xf numFmtId="1" fontId="0" fillId="0" borderId="33" xfId="0" applyNumberFormat="1" applyBorder="1" applyAlignment="1">
      <alignment horizontal="center" vertical="center"/>
    </xf>
    <xf numFmtId="1" fontId="15" fillId="0" borderId="33" xfId="0" applyNumberFormat="1" applyFont="1" applyBorder="1" applyAlignment="1">
      <alignment horizontal="center" vertical="center"/>
    </xf>
    <xf numFmtId="0" fontId="0" fillId="0" borderId="43" xfId="0" applyBorder="1" applyAlignment="1">
      <alignment horizontal="center" vertical="center"/>
    </xf>
    <xf numFmtId="0" fontId="0" fillId="0" borderId="58"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1" fontId="0" fillId="0" borderId="52"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52" xfId="0" applyNumberForma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1" fontId="0" fillId="0" borderId="22" xfId="0" applyNumberFormat="1" applyBorder="1" applyAlignment="1">
      <alignment horizontal="center" vertical="center"/>
    </xf>
    <xf numFmtId="176" fontId="0" fillId="0" borderId="22" xfId="0" applyNumberFormat="1" applyBorder="1" applyAlignment="1">
      <alignment horizontal="center" vertical="center"/>
    </xf>
    <xf numFmtId="164" fontId="0" fillId="0" borderId="56" xfId="0" applyNumberFormat="1" applyBorder="1" applyAlignment="1">
      <alignment horizontal="center" vertical="center"/>
    </xf>
    <xf numFmtId="0" fontId="0" fillId="0" borderId="53" xfId="0" applyBorder="1" applyAlignment="1">
      <alignment horizontal="center" vertical="center"/>
    </xf>
    <xf numFmtId="164" fontId="0" fillId="0" borderId="61" xfId="0" applyNumberFormat="1" applyBorder="1" applyAlignment="1">
      <alignment horizontal="center" vertical="center"/>
    </xf>
    <xf numFmtId="164" fontId="0" fillId="0" borderId="40" xfId="0" applyNumberFormat="1" applyBorder="1" applyAlignment="1">
      <alignment horizontal="center" vertical="center"/>
    </xf>
    <xf numFmtId="164" fontId="0" fillId="0" borderId="50" xfId="0" applyNumberFormat="1" applyBorder="1" applyAlignment="1">
      <alignment horizontal="center" vertical="center"/>
    </xf>
    <xf numFmtId="164" fontId="0" fillId="0" borderId="43" xfId="0" applyNumberFormat="1" applyBorder="1" applyAlignment="1">
      <alignment horizontal="center" vertical="center"/>
    </xf>
    <xf numFmtId="0" fontId="0" fillId="0" borderId="23" xfId="0" applyBorder="1" applyAlignment="1">
      <alignment horizontal="center" vertical="center"/>
    </xf>
    <xf numFmtId="0" fontId="15" fillId="0" borderId="15" xfId="0" applyFont="1" applyBorder="1" applyAlignment="1">
      <alignment horizontal="center" vertical="center"/>
    </xf>
    <xf numFmtId="0" fontId="15" fillId="0" borderId="15" xfId="0" quotePrefix="1" applyFont="1" applyBorder="1" applyAlignment="1">
      <alignment horizontal="center" vertical="center"/>
    </xf>
    <xf numFmtId="0" fontId="0" fillId="0" borderId="45" xfId="0" applyBorder="1" applyAlignment="1">
      <alignment horizontal="center" vertical="center"/>
    </xf>
    <xf numFmtId="2" fontId="0" fillId="0" borderId="43" xfId="0" applyNumberFormat="1" applyBorder="1" applyAlignment="1">
      <alignment horizontal="center" vertical="center"/>
    </xf>
    <xf numFmtId="0" fontId="0" fillId="0" borderId="73" xfId="0" applyBorder="1" applyAlignment="1">
      <alignment horizontal="center" vertical="center"/>
    </xf>
    <xf numFmtId="0" fontId="0" fillId="0" borderId="37" xfId="0" applyBorder="1" applyAlignment="1">
      <alignment horizontal="center" vertical="center"/>
    </xf>
    <xf numFmtId="1" fontId="0" fillId="0" borderId="40" xfId="0" applyNumberFormat="1" applyBorder="1" applyAlignment="1">
      <alignment horizontal="center" vertical="center"/>
    </xf>
    <xf numFmtId="1" fontId="0" fillId="0" borderId="73" xfId="0" applyNumberFormat="1" applyBorder="1" applyAlignment="1">
      <alignment horizontal="center" vertical="center"/>
    </xf>
    <xf numFmtId="1" fontId="0" fillId="0" borderId="50" xfId="0" applyNumberFormat="1" applyBorder="1" applyAlignment="1">
      <alignment horizontal="center" vertical="center"/>
    </xf>
    <xf numFmtId="1" fontId="0" fillId="0" borderId="43" xfId="0" applyNumberFormat="1" applyBorder="1" applyAlignment="1">
      <alignment horizontal="center" vertical="center"/>
    </xf>
    <xf numFmtId="2" fontId="0" fillId="0" borderId="0" xfId="0" applyNumberFormat="1" applyAlignment="1">
      <alignment vertical="center"/>
    </xf>
    <xf numFmtId="2" fontId="0" fillId="0" borderId="50" xfId="0" applyNumberForma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4" xfId="0" applyBorder="1" applyAlignment="1">
      <alignment horizontal="center" vertical="center"/>
    </xf>
    <xf numFmtId="0" fontId="0" fillId="0" borderId="47" xfId="0" applyBorder="1" applyAlignment="1">
      <alignment horizontal="center" vertical="center"/>
    </xf>
    <xf numFmtId="1" fontId="0" fillId="0" borderId="58" xfId="0" applyNumberFormat="1" applyBorder="1" applyAlignment="1">
      <alignment horizontal="center" vertical="center"/>
    </xf>
    <xf numFmtId="1" fontId="0" fillId="0" borderId="12" xfId="0" applyNumberFormat="1" applyBorder="1" applyAlignment="1">
      <alignment horizontal="center" vertical="center"/>
    </xf>
    <xf numFmtId="1" fontId="0" fillId="0" borderId="49" xfId="0" applyNumberFormat="1" applyBorder="1" applyAlignment="1">
      <alignment horizontal="center" vertical="center"/>
    </xf>
    <xf numFmtId="1" fontId="15" fillId="0" borderId="58" xfId="0" applyNumberFormat="1" applyFont="1" applyBorder="1" applyAlignment="1">
      <alignment horizontal="center" vertical="center"/>
    </xf>
    <xf numFmtId="1" fontId="15" fillId="0" borderId="12" xfId="0" applyNumberFormat="1" applyFont="1" applyBorder="1" applyAlignment="1">
      <alignment horizontal="center" vertical="center"/>
    </xf>
    <xf numFmtId="1" fontId="15" fillId="0" borderId="13" xfId="0" applyNumberFormat="1" applyFont="1" applyBorder="1" applyAlignment="1">
      <alignment horizontal="center" vertical="center"/>
    </xf>
    <xf numFmtId="1" fontId="0" fillId="0" borderId="35" xfId="0" applyNumberFormat="1" applyBorder="1" applyAlignment="1">
      <alignment horizontal="center" vertical="center"/>
    </xf>
    <xf numFmtId="0" fontId="0" fillId="0" borderId="20" xfId="0" applyBorder="1" applyAlignment="1">
      <alignment horizontal="center" vertical="center"/>
    </xf>
    <xf numFmtId="0" fontId="0" fillId="0" borderId="57" xfId="0" applyBorder="1" applyAlignment="1">
      <alignment horizontal="center" vertical="center"/>
    </xf>
    <xf numFmtId="0" fontId="27" fillId="0" borderId="22" xfId="0" applyFont="1" applyBorder="1"/>
    <xf numFmtId="0" fontId="27" fillId="0" borderId="22" xfId="0" applyFont="1" applyBorder="1" applyAlignment="1">
      <alignment horizontal="center"/>
    </xf>
    <xf numFmtId="0" fontId="27" fillId="0" borderId="18" xfId="0" applyFont="1" applyBorder="1" applyAlignment="1">
      <alignment horizontal="center"/>
    </xf>
    <xf numFmtId="0" fontId="26" fillId="8" borderId="64" xfId="0" applyFont="1" applyFill="1" applyBorder="1" applyAlignment="1" applyProtection="1">
      <alignment horizontal="center"/>
      <protection locked="0"/>
    </xf>
    <xf numFmtId="0" fontId="26" fillId="8" borderId="23" xfId="0" applyFont="1" applyFill="1" applyBorder="1" applyAlignment="1" applyProtection="1">
      <alignment horizontal="center"/>
      <protection locked="0"/>
    </xf>
    <xf numFmtId="0" fontId="24" fillId="0" borderId="64" xfId="0" applyFont="1" applyBorder="1" applyAlignment="1">
      <alignment horizontal="center"/>
    </xf>
    <xf numFmtId="0" fontId="27" fillId="0" borderId="1" xfId="0" applyFont="1" applyBorder="1" applyAlignment="1">
      <alignment horizontal="center"/>
    </xf>
    <xf numFmtId="0" fontId="27" fillId="0" borderId="65" xfId="0" applyFont="1" applyBorder="1"/>
    <xf numFmtId="49" fontId="26" fillId="8" borderId="6" xfId="0" applyNumberFormat="1" applyFont="1" applyFill="1" applyBorder="1" applyAlignment="1" applyProtection="1">
      <alignment horizontal="center"/>
      <protection locked="0"/>
    </xf>
    <xf numFmtId="0" fontId="26" fillId="8" borderId="26" xfId="0" applyFont="1" applyFill="1" applyBorder="1" applyAlignment="1" applyProtection="1">
      <alignment horizontal="center"/>
      <protection locked="0"/>
    </xf>
    <xf numFmtId="0" fontId="26" fillId="8" borderId="29" xfId="0" applyFont="1" applyFill="1" applyBorder="1" applyAlignment="1" applyProtection="1">
      <alignment horizontal="center"/>
      <protection locked="0"/>
    </xf>
    <xf numFmtId="0" fontId="30" fillId="0" borderId="24" xfId="0" applyFont="1" applyBorder="1"/>
    <xf numFmtId="0" fontId="30" fillId="0" borderId="0" xfId="0" applyFont="1"/>
    <xf numFmtId="0" fontId="30" fillId="0" borderId="20" xfId="0" applyFont="1" applyBorder="1"/>
    <xf numFmtId="0" fontId="27" fillId="0" borderId="24" xfId="0" applyFont="1" applyBorder="1"/>
    <xf numFmtId="0" fontId="27" fillId="0" borderId="0" xfId="0" applyFont="1"/>
    <xf numFmtId="0" fontId="27" fillId="0" borderId="33" xfId="0" applyFont="1" applyBorder="1" applyAlignment="1">
      <alignment horizontal="center" vertical="center"/>
    </xf>
    <xf numFmtId="0" fontId="24" fillId="0" borderId="73" xfId="0" applyFont="1" applyBorder="1" applyAlignment="1">
      <alignment horizontal="right" vertical="center"/>
    </xf>
    <xf numFmtId="0" fontId="24" fillId="0" borderId="50" xfId="0" applyFont="1" applyBorder="1" applyAlignment="1">
      <alignment horizontal="right" vertical="center"/>
    </xf>
    <xf numFmtId="0" fontId="24" fillId="0" borderId="77" xfId="0" applyFont="1" applyBorder="1" applyAlignment="1">
      <alignment horizontal="right" vertical="center"/>
    </xf>
    <xf numFmtId="0" fontId="27" fillId="0" borderId="10" xfId="0" applyFont="1" applyBorder="1" applyAlignment="1">
      <alignment horizontal="center" vertical="center"/>
    </xf>
    <xf numFmtId="0" fontId="27" fillId="0" borderId="40" xfId="0" applyFont="1" applyBorder="1" applyAlignment="1">
      <alignment horizontal="center" vertical="center"/>
    </xf>
    <xf numFmtId="0" fontId="0" fillId="0" borderId="20" xfId="0" applyBorder="1"/>
    <xf numFmtId="0" fontId="27" fillId="0" borderId="19" xfId="0" applyFont="1" applyBorder="1" applyAlignment="1">
      <alignment horizontal="center" vertical="center"/>
    </xf>
    <xf numFmtId="0" fontId="27" fillId="0" borderId="73" xfId="0" applyFont="1" applyBorder="1" applyAlignment="1">
      <alignment horizontal="center" vertical="center"/>
    </xf>
    <xf numFmtId="0" fontId="24" fillId="0" borderId="43" xfId="0" applyFont="1" applyBorder="1" applyAlignment="1">
      <alignment horizontal="right" vertical="center"/>
    </xf>
    <xf numFmtId="0" fontId="27" fillId="0" borderId="38" xfId="0" applyFont="1" applyBorder="1" applyAlignment="1">
      <alignment horizontal="center" vertical="center"/>
    </xf>
    <xf numFmtId="0" fontId="27" fillId="0" borderId="39" xfId="0" applyFont="1" applyBorder="1" applyAlignment="1">
      <alignment horizontal="center" vertical="center"/>
    </xf>
    <xf numFmtId="0" fontId="27" fillId="0" borderId="38" xfId="0" applyFont="1" applyBorder="1"/>
    <xf numFmtId="0" fontId="27" fillId="0" borderId="28" xfId="0" applyFont="1" applyBorder="1"/>
    <xf numFmtId="0" fontId="0" fillId="0" borderId="28" xfId="0" applyBorder="1"/>
    <xf numFmtId="0" fontId="0" fillId="0" borderId="29" xfId="0" applyBorder="1"/>
    <xf numFmtId="0" fontId="27" fillId="0" borderId="34" xfId="0" applyFont="1" applyBorder="1"/>
    <xf numFmtId="0" fontId="27" fillId="0" borderId="42" xfId="0" applyFont="1" applyBorder="1"/>
    <xf numFmtId="0" fontId="0" fillId="0" borderId="42" xfId="0" applyBorder="1"/>
    <xf numFmtId="0" fontId="0" fillId="0" borderId="35" xfId="0" applyBorder="1"/>
    <xf numFmtId="49" fontId="27" fillId="0" borderId="73" xfId="0" applyNumberFormat="1" applyFont="1" applyBorder="1" applyAlignment="1">
      <alignment horizontal="center" vertical="center"/>
    </xf>
    <xf numFmtId="1" fontId="27" fillId="0" borderId="7" xfId="0" applyNumberFormat="1" applyFont="1" applyBorder="1" applyAlignment="1">
      <alignment horizontal="center" vertical="center"/>
    </xf>
    <xf numFmtId="164" fontId="27" fillId="0" borderId="73" xfId="0" applyNumberFormat="1" applyFont="1" applyBorder="1" applyAlignment="1">
      <alignment horizontal="center" vertical="center"/>
    </xf>
    <xf numFmtId="0" fontId="24" fillId="0" borderId="40" xfId="0" applyFont="1" applyBorder="1" applyAlignment="1">
      <alignment horizontal="center" vertical="center"/>
    </xf>
    <xf numFmtId="164" fontId="31" fillId="0" borderId="40" xfId="0" applyNumberFormat="1" applyFont="1" applyBorder="1" applyAlignment="1">
      <alignment horizontal="center" vertical="center"/>
    </xf>
    <xf numFmtId="0" fontId="24" fillId="0" borderId="50" xfId="0" applyFont="1" applyBorder="1" applyAlignment="1">
      <alignment horizontal="center" vertical="center"/>
    </xf>
    <xf numFmtId="164" fontId="27" fillId="0" borderId="50" xfId="0" applyNumberFormat="1" applyFont="1" applyBorder="1" applyAlignment="1">
      <alignment horizontal="center" vertical="center"/>
    </xf>
    <xf numFmtId="164" fontId="31" fillId="0" borderId="50" xfId="0" applyNumberFormat="1" applyFont="1" applyBorder="1" applyAlignment="1">
      <alignment horizontal="center" vertical="center"/>
    </xf>
    <xf numFmtId="164" fontId="27" fillId="0" borderId="43" xfId="0" applyNumberFormat="1" applyFont="1" applyBorder="1" applyAlignment="1">
      <alignment horizontal="center" vertical="center"/>
    </xf>
    <xf numFmtId="164" fontId="31" fillId="0" borderId="43" xfId="0" applyNumberFormat="1" applyFont="1" applyBorder="1" applyAlignment="1">
      <alignment horizontal="center" vertical="center"/>
    </xf>
    <xf numFmtId="164" fontId="27" fillId="0" borderId="10" xfId="0" applyNumberFormat="1" applyFont="1" applyBorder="1" applyAlignment="1">
      <alignment horizontal="center" vertical="center"/>
    </xf>
    <xf numFmtId="164" fontId="27" fillId="0" borderId="14" xfId="0" applyNumberFormat="1" applyFont="1" applyBorder="1" applyAlignment="1">
      <alignment horizontal="center" vertical="center"/>
    </xf>
    <xf numFmtId="1" fontId="27" fillId="0" borderId="50" xfId="0" applyNumberFormat="1" applyFont="1" applyBorder="1" applyAlignment="1">
      <alignment horizontal="center" vertical="center"/>
    </xf>
    <xf numFmtId="164" fontId="27" fillId="0" borderId="54" xfId="0" applyNumberFormat="1" applyFont="1" applyBorder="1" applyAlignment="1">
      <alignment horizontal="center" vertical="center"/>
    </xf>
    <xf numFmtId="1" fontId="27" fillId="0" borderId="43" xfId="0" applyNumberFormat="1" applyFont="1" applyBorder="1" applyAlignment="1">
      <alignment horizontal="center" vertical="center"/>
    </xf>
    <xf numFmtId="49" fontId="27" fillId="0" borderId="39" xfId="0" applyNumberFormat="1" applyFont="1" applyBorder="1" applyAlignment="1">
      <alignment horizontal="center" vertical="center"/>
    </xf>
    <xf numFmtId="1" fontId="27" fillId="0" borderId="28" xfId="0" applyNumberFormat="1" applyFont="1" applyBorder="1" applyAlignment="1">
      <alignment horizontal="center" vertical="center"/>
    </xf>
    <xf numFmtId="164" fontId="27" fillId="0" borderId="39" xfId="0" applyNumberFormat="1" applyFont="1" applyBorder="1" applyAlignment="1">
      <alignment horizontal="center" vertical="center"/>
    </xf>
    <xf numFmtId="0" fontId="24" fillId="0" borderId="43" xfId="0" applyFont="1" applyBorder="1" applyAlignment="1">
      <alignment horizontal="center" vertical="center"/>
    </xf>
    <xf numFmtId="0" fontId="31" fillId="0" borderId="33" xfId="0" applyFont="1" applyBorder="1" applyAlignment="1">
      <alignment horizontal="center" vertical="center"/>
    </xf>
    <xf numFmtId="49" fontId="27" fillId="0" borderId="24" xfId="0" applyNumberFormat="1" applyFont="1" applyBorder="1" applyAlignment="1">
      <alignment horizontal="center" vertical="center"/>
    </xf>
    <xf numFmtId="1" fontId="27" fillId="0" borderId="0" xfId="0" applyNumberFormat="1" applyFont="1" applyAlignment="1">
      <alignment horizontal="center" vertical="center"/>
    </xf>
    <xf numFmtId="164" fontId="27" fillId="0" borderId="0" xfId="0" applyNumberFormat="1" applyFont="1" applyAlignment="1">
      <alignment horizontal="center" vertical="center"/>
    </xf>
    <xf numFmtId="0" fontId="24" fillId="0" borderId="0" xfId="0" applyFont="1" applyAlignment="1">
      <alignment horizontal="center" vertical="center"/>
    </xf>
    <xf numFmtId="49" fontId="27" fillId="0" borderId="38" xfId="0" applyNumberFormat="1" applyFont="1" applyBorder="1" applyAlignment="1">
      <alignment horizontal="center" vertical="center"/>
    </xf>
    <xf numFmtId="164" fontId="27" fillId="0" borderId="28" xfId="0" applyNumberFormat="1" applyFont="1" applyBorder="1" applyAlignment="1">
      <alignment horizontal="center" vertical="center"/>
    </xf>
    <xf numFmtId="0" fontId="24" fillId="0" borderId="28" xfId="0" applyFont="1" applyBorder="1" applyAlignment="1">
      <alignment horizontal="center" vertical="center"/>
    </xf>
    <xf numFmtId="2" fontId="27" fillId="0" borderId="28" xfId="0" applyNumberFormat="1" applyFont="1" applyBorder="1" applyAlignment="1">
      <alignment horizontal="center" vertical="center"/>
    </xf>
    <xf numFmtId="0" fontId="27" fillId="0" borderId="34" xfId="0" applyFont="1" applyBorder="1" applyAlignment="1">
      <alignment horizontal="center"/>
    </xf>
    <xf numFmtId="0" fontId="27" fillId="0" borderId="42" xfId="0" applyFont="1" applyBorder="1" applyAlignment="1">
      <alignment horizontal="center"/>
    </xf>
    <xf numFmtId="0" fontId="27" fillId="0" borderId="42" xfId="0" applyFont="1" applyBorder="1" applyAlignment="1">
      <alignment horizontal="center" vertical="center"/>
    </xf>
    <xf numFmtId="0" fontId="27" fillId="0" borderId="35" xfId="0" applyFont="1" applyBorder="1" applyAlignment="1">
      <alignment horizontal="center"/>
    </xf>
    <xf numFmtId="0" fontId="27" fillId="0" borderId="0" xfId="0" applyFont="1" applyAlignment="1">
      <alignment horizontal="center" vertical="center"/>
    </xf>
    <xf numFmtId="1" fontId="26" fillId="0" borderId="0" xfId="0" applyNumberFormat="1" applyFont="1" applyAlignment="1">
      <alignment horizontal="center" vertical="center"/>
    </xf>
    <xf numFmtId="0" fontId="27" fillId="0" borderId="20" xfId="0" applyFont="1" applyBorder="1" applyAlignment="1">
      <alignment horizontal="center"/>
    </xf>
    <xf numFmtId="0" fontId="0" fillId="0" borderId="38" xfId="0" applyBorder="1"/>
    <xf numFmtId="0" fontId="27" fillId="0" borderId="0" xfId="0" applyFont="1" applyAlignment="1" applyProtection="1">
      <alignment vertical="center"/>
      <protection hidden="1"/>
    </xf>
    <xf numFmtId="0" fontId="38" fillId="0" borderId="0" xfId="0" applyFont="1" applyProtection="1">
      <protection hidden="1"/>
    </xf>
    <xf numFmtId="164" fontId="40" fillId="0" borderId="0" xfId="0" applyNumberFormat="1" applyFont="1" applyAlignment="1" applyProtection="1">
      <alignment horizontal="left" vertical="top" wrapText="1"/>
      <protection hidden="1"/>
    </xf>
    <xf numFmtId="0" fontId="38" fillId="0" borderId="24" xfId="0" applyFont="1" applyBorder="1" applyAlignment="1" applyProtection="1">
      <alignment horizontal="left"/>
      <protection hidden="1"/>
    </xf>
    <xf numFmtId="0" fontId="38" fillId="0" borderId="0" xfId="0" applyFont="1" applyAlignment="1" applyProtection="1">
      <alignment horizontal="left"/>
      <protection hidden="1"/>
    </xf>
    <xf numFmtId="0" fontId="41" fillId="0" borderId="0" xfId="0" applyFont="1" applyProtection="1">
      <protection hidden="1"/>
    </xf>
    <xf numFmtId="14" fontId="38" fillId="0" borderId="0" xfId="0" applyNumberFormat="1" applyFont="1" applyProtection="1">
      <protection hidden="1"/>
    </xf>
    <xf numFmtId="0" fontId="38" fillId="0" borderId="38" xfId="0" applyFont="1" applyBorder="1" applyAlignment="1" applyProtection="1">
      <alignment horizontal="center" vertical="center" wrapText="1"/>
      <protection hidden="1"/>
    </xf>
    <xf numFmtId="0" fontId="38" fillId="0" borderId="29" xfId="0" applyFont="1" applyBorder="1" applyAlignment="1" applyProtection="1">
      <alignment horizontal="center" vertical="center" wrapText="1"/>
      <protection hidden="1"/>
    </xf>
    <xf numFmtId="0" fontId="38" fillId="0" borderId="28" xfId="0" applyFont="1" applyBorder="1" applyAlignment="1" applyProtection="1">
      <alignment horizontal="center" vertical="center"/>
      <protection hidden="1"/>
    </xf>
    <xf numFmtId="0" fontId="38" fillId="0" borderId="39" xfId="0" applyFont="1" applyBorder="1" applyAlignment="1" applyProtection="1">
      <alignment horizontal="center" vertical="center"/>
      <protection hidden="1"/>
    </xf>
    <xf numFmtId="0" fontId="38" fillId="0" borderId="0" xfId="0" applyFont="1" applyAlignment="1" applyProtection="1">
      <alignment vertical="center" wrapText="1"/>
      <protection hidden="1"/>
    </xf>
    <xf numFmtId="0" fontId="35" fillId="0" borderId="19" xfId="0" applyFont="1" applyBorder="1" applyAlignment="1">
      <alignment horizontal="right" vertical="center"/>
    </xf>
    <xf numFmtId="168" fontId="38" fillId="0" borderId="73" xfId="0" applyNumberFormat="1" applyFont="1" applyBorder="1" applyAlignment="1">
      <alignment horizontal="center" vertical="center"/>
    </xf>
    <xf numFmtId="0" fontId="35" fillId="0" borderId="14" xfId="0" applyFont="1" applyBorder="1" applyAlignment="1">
      <alignment horizontal="right" vertical="center"/>
    </xf>
    <xf numFmtId="168" fontId="38" fillId="0" borderId="50" xfId="0" applyNumberFormat="1" applyFont="1" applyBorder="1" applyAlignment="1">
      <alignment horizontal="center" vertical="center"/>
    </xf>
    <xf numFmtId="168" fontId="38" fillId="0" borderId="50" xfId="0" applyNumberFormat="1" applyFont="1" applyBorder="1" applyAlignment="1">
      <alignment horizontal="center"/>
    </xf>
    <xf numFmtId="168" fontId="38" fillId="0" borderId="73" xfId="0" applyNumberFormat="1" applyFont="1" applyBorder="1" applyAlignment="1">
      <alignment horizontal="center"/>
    </xf>
    <xf numFmtId="0" fontId="35" fillId="0" borderId="38" xfId="0" applyFont="1" applyBorder="1" applyAlignment="1">
      <alignment horizontal="right" vertical="center"/>
    </xf>
    <xf numFmtId="168" fontId="38" fillId="0" borderId="39" xfId="0" applyNumberFormat="1" applyFont="1" applyBorder="1" applyAlignment="1">
      <alignment horizontal="center"/>
    </xf>
    <xf numFmtId="0" fontId="35" fillId="0" borderId="0" xfId="0" applyFont="1" applyProtection="1">
      <protection hidden="1"/>
    </xf>
    <xf numFmtId="0" fontId="35" fillId="0" borderId="0" xfId="0" applyFont="1" applyAlignment="1" applyProtection="1">
      <alignment horizontal="center"/>
      <protection hidden="1"/>
    </xf>
    <xf numFmtId="1" fontId="35" fillId="0" borderId="0" xfId="0" applyNumberFormat="1" applyFont="1" applyAlignment="1" applyProtection="1">
      <alignment horizontal="center"/>
      <protection hidden="1"/>
    </xf>
    <xf numFmtId="167" fontId="35" fillId="8" borderId="33" xfId="0" applyNumberFormat="1" applyFont="1" applyFill="1" applyBorder="1" applyAlignment="1" applyProtection="1">
      <alignment horizontal="center"/>
      <protection locked="0"/>
    </xf>
    <xf numFmtId="0" fontId="35" fillId="0" borderId="0" xfId="0" applyFont="1" applyAlignment="1" applyProtection="1">
      <alignment horizontal="center" vertical="top"/>
      <protection hidden="1"/>
    </xf>
    <xf numFmtId="0" fontId="38" fillId="0" borderId="0" xfId="0" applyFont="1" applyAlignment="1" applyProtection="1">
      <alignment horizontal="left" vertical="top"/>
      <protection hidden="1"/>
    </xf>
    <xf numFmtId="166" fontId="41" fillId="0" borderId="0" xfId="0" applyNumberFormat="1" applyFont="1" applyAlignment="1" applyProtection="1">
      <alignment horizontal="center"/>
      <protection hidden="1"/>
    </xf>
    <xf numFmtId="0" fontId="42" fillId="0" borderId="0" xfId="0" applyFont="1" applyAlignment="1" applyProtection="1">
      <alignment horizontal="center"/>
      <protection hidden="1"/>
    </xf>
    <xf numFmtId="2" fontId="43" fillId="0" borderId="0" xfId="0" applyNumberFormat="1" applyFont="1" applyAlignment="1" applyProtection="1">
      <alignment horizontal="center"/>
      <protection hidden="1"/>
    </xf>
    <xf numFmtId="0" fontId="43" fillId="0" borderId="0" xfId="0" applyFont="1" applyAlignment="1" applyProtection="1">
      <alignment horizontal="center"/>
      <protection hidden="1"/>
    </xf>
    <xf numFmtId="165" fontId="38" fillId="0" borderId="0" xfId="0" applyNumberFormat="1" applyFont="1" applyProtection="1">
      <protection hidden="1"/>
    </xf>
    <xf numFmtId="0" fontId="38" fillId="0" borderId="24" xfId="0" applyFont="1" applyBorder="1" applyProtection="1">
      <protection hidden="1"/>
    </xf>
    <xf numFmtId="0" fontId="38" fillId="0" borderId="0" xfId="0" applyFont="1" applyAlignment="1" applyProtection="1">
      <alignment horizontal="center"/>
      <protection hidden="1"/>
    </xf>
    <xf numFmtId="0" fontId="38" fillId="0" borderId="20" xfId="0" applyFont="1" applyBorder="1" applyProtection="1">
      <protection hidden="1"/>
    </xf>
    <xf numFmtId="1" fontId="35" fillId="0" borderId="0" xfId="0" applyNumberFormat="1" applyFont="1" applyProtection="1">
      <protection hidden="1"/>
    </xf>
    <xf numFmtId="1" fontId="35" fillId="0" borderId="24" xfId="3" applyNumberFormat="1" applyFont="1" applyBorder="1" applyAlignment="1" applyProtection="1">
      <alignment horizontal="center" vertical="center"/>
      <protection hidden="1"/>
    </xf>
    <xf numFmtId="0" fontId="38" fillId="0" borderId="30" xfId="0" applyFont="1" applyBorder="1" applyAlignment="1">
      <alignment horizontal="center" vertical="center" wrapText="1"/>
    </xf>
    <xf numFmtId="0" fontId="38" fillId="0" borderId="33" xfId="0" applyFont="1" applyBorder="1" applyAlignment="1">
      <alignment horizontal="center" vertical="center" wrapText="1"/>
    </xf>
    <xf numFmtId="1" fontId="38" fillId="0" borderId="0" xfId="0" applyNumberFormat="1" applyFont="1" applyAlignment="1" applyProtection="1">
      <alignment horizontal="center" vertical="center" wrapText="1"/>
      <protection hidden="1"/>
    </xf>
    <xf numFmtId="0" fontId="38" fillId="0" borderId="0" xfId="0" applyFont="1" applyAlignment="1" applyProtection="1">
      <alignment vertical="center"/>
      <protection hidden="1"/>
    </xf>
    <xf numFmtId="0" fontId="35" fillId="0" borderId="33" xfId="0" applyFont="1" applyBorder="1" applyAlignment="1" applyProtection="1">
      <alignment horizontal="center" vertical="center"/>
      <protection hidden="1"/>
    </xf>
    <xf numFmtId="1" fontId="38" fillId="0" borderId="33" xfId="0" quotePrefix="1" applyNumberFormat="1" applyFont="1" applyBorder="1" applyAlignment="1">
      <alignment horizontal="center" vertical="center" wrapText="1"/>
    </xf>
    <xf numFmtId="1" fontId="38" fillId="0" borderId="33" xfId="0" applyNumberFormat="1" applyFont="1" applyBorder="1" applyAlignment="1">
      <alignment horizontal="center" vertical="center" wrapText="1"/>
    </xf>
    <xf numFmtId="1" fontId="38" fillId="0" borderId="30" xfId="0" applyNumberFormat="1" applyFont="1" applyBorder="1" applyAlignment="1">
      <alignment horizontal="center" vertical="center" wrapText="1"/>
    </xf>
    <xf numFmtId="0" fontId="38" fillId="0" borderId="0" xfId="3" applyNumberFormat="1" applyFont="1" applyFill="1" applyBorder="1" applyAlignment="1" applyProtection="1">
      <alignment horizontal="center" vertical="center"/>
    </xf>
    <xf numFmtId="164" fontId="38" fillId="0" borderId="0" xfId="3" applyNumberFormat="1" applyFont="1" applyFill="1" applyBorder="1" applyAlignment="1" applyProtection="1">
      <alignment horizontal="center" vertical="center"/>
    </xf>
    <xf numFmtId="0" fontId="38" fillId="0" borderId="0" xfId="0" applyFont="1" applyAlignment="1" applyProtection="1">
      <alignment horizontal="center" vertical="center"/>
      <protection hidden="1"/>
    </xf>
    <xf numFmtId="0" fontId="38" fillId="0" borderId="30" xfId="0" applyFont="1" applyBorder="1" applyAlignment="1" applyProtection="1">
      <alignment horizontal="center" vertical="center"/>
      <protection hidden="1"/>
    </xf>
    <xf numFmtId="0" fontId="38" fillId="0" borderId="33" xfId="0" applyFont="1" applyBorder="1" applyAlignment="1" applyProtection="1">
      <alignment horizontal="center" vertical="center"/>
      <protection hidden="1"/>
    </xf>
    <xf numFmtId="164" fontId="38" fillId="0" borderId="0" xfId="0" applyNumberFormat="1" applyFont="1" applyAlignment="1">
      <alignment horizontal="center" vertical="center"/>
    </xf>
    <xf numFmtId="2" fontId="44" fillId="0" borderId="0" xfId="0" applyNumberFormat="1" applyFont="1" applyAlignment="1" applyProtection="1">
      <alignment vertical="center"/>
      <protection hidden="1"/>
    </xf>
    <xf numFmtId="49" fontId="38" fillId="0" borderId="37" xfId="0" applyNumberFormat="1" applyFont="1" applyBorder="1" applyAlignment="1" applyProtection="1">
      <alignment horizontal="center"/>
      <protection hidden="1"/>
    </xf>
    <xf numFmtId="164" fontId="35" fillId="8" borderId="36" xfId="3" applyNumberFormat="1" applyFont="1" applyFill="1" applyBorder="1" applyAlignment="1" applyProtection="1">
      <alignment horizontal="center"/>
      <protection locked="0"/>
    </xf>
    <xf numFmtId="164" fontId="35" fillId="8" borderId="37" xfId="3" applyNumberFormat="1" applyFont="1" applyFill="1" applyBorder="1" applyAlignment="1" applyProtection="1">
      <alignment horizontal="center"/>
      <protection locked="0"/>
    </xf>
    <xf numFmtId="0" fontId="38" fillId="0" borderId="0" xfId="0" quotePrefix="1" applyFont="1" applyAlignment="1" applyProtection="1">
      <alignment horizontal="center" vertical="center"/>
      <protection hidden="1"/>
    </xf>
    <xf numFmtId="49" fontId="38" fillId="0" borderId="36" xfId="0" applyNumberFormat="1" applyFont="1" applyBorder="1" applyAlignment="1" applyProtection="1">
      <alignment horizontal="center"/>
      <protection hidden="1"/>
    </xf>
    <xf numFmtId="9" fontId="38" fillId="0" borderId="0" xfId="3" applyFont="1" applyFill="1" applyBorder="1" applyAlignment="1" applyProtection="1">
      <alignment horizontal="center"/>
    </xf>
    <xf numFmtId="173" fontId="45" fillId="0" borderId="0" xfId="3" applyNumberFormat="1" applyFont="1" applyBorder="1" applyAlignment="1" applyProtection="1">
      <alignment horizontal="center"/>
    </xf>
    <xf numFmtId="173" fontId="38" fillId="0" borderId="0" xfId="0" applyNumberFormat="1" applyFont="1" applyAlignment="1">
      <alignment horizontal="center"/>
    </xf>
    <xf numFmtId="167" fontId="38" fillId="0" borderId="0" xfId="0" applyNumberFormat="1" applyFont="1" applyAlignment="1">
      <alignment horizontal="center"/>
    </xf>
    <xf numFmtId="0" fontId="38" fillId="0" borderId="0" xfId="0" applyFont="1" applyAlignment="1">
      <alignment horizontal="center"/>
    </xf>
    <xf numFmtId="164" fontId="38" fillId="0" borderId="0" xfId="0" applyNumberFormat="1" applyFont="1" applyAlignment="1">
      <alignment horizontal="center"/>
    </xf>
    <xf numFmtId="49" fontId="38" fillId="0" borderId="39" xfId="0" applyNumberFormat="1" applyFont="1" applyBorder="1" applyAlignment="1" applyProtection="1">
      <alignment horizontal="center"/>
      <protection hidden="1"/>
    </xf>
    <xf numFmtId="164" fontId="35" fillId="8" borderId="39" xfId="3" applyNumberFormat="1" applyFont="1" applyFill="1" applyBorder="1" applyAlignment="1" applyProtection="1">
      <alignment horizontal="center"/>
      <protection locked="0"/>
    </xf>
    <xf numFmtId="49" fontId="35" fillId="0" borderId="39" xfId="0" applyNumberFormat="1" applyFont="1" applyBorder="1" applyAlignment="1" applyProtection="1">
      <alignment horizontal="center" vertical="center" wrapText="1"/>
      <protection hidden="1"/>
    </xf>
    <xf numFmtId="0" fontId="35" fillId="0" borderId="0" xfId="3" applyNumberFormat="1" applyFont="1" applyFill="1" applyBorder="1" applyAlignment="1" applyProtection="1">
      <alignment horizontal="center" vertical="center"/>
    </xf>
    <xf numFmtId="2" fontId="38" fillId="0" borderId="31" xfId="0" applyNumberFormat="1" applyFont="1" applyBorder="1" applyAlignment="1">
      <alignment horizontal="center"/>
    </xf>
    <xf numFmtId="0" fontId="44" fillId="0" borderId="0" xfId="0" applyFont="1" applyAlignment="1">
      <alignment horizontal="center"/>
    </xf>
    <xf numFmtId="2" fontId="35" fillId="0" borderId="0" xfId="0" applyNumberFormat="1" applyFont="1" applyProtection="1">
      <protection hidden="1"/>
    </xf>
    <xf numFmtId="49" fontId="38" fillId="0" borderId="0" xfId="0" applyNumberFormat="1" applyFont="1" applyProtection="1">
      <protection hidden="1"/>
    </xf>
    <xf numFmtId="167" fontId="46" fillId="0" borderId="0" xfId="0" applyNumberFormat="1" applyFont="1" applyProtection="1">
      <protection hidden="1"/>
    </xf>
    <xf numFmtId="164" fontId="42" fillId="0" borderId="0" xfId="0" applyNumberFormat="1" applyFont="1" applyAlignment="1" applyProtection="1">
      <alignment horizontal="center"/>
      <protection hidden="1"/>
    </xf>
    <xf numFmtId="167" fontId="35" fillId="0" borderId="0" xfId="0" applyNumberFormat="1" applyFont="1" applyProtection="1">
      <protection hidden="1"/>
    </xf>
    <xf numFmtId="0" fontId="35" fillId="0" borderId="0" xfId="0" applyFont="1" applyAlignment="1" applyProtection="1">
      <alignment horizontal="left" vertical="center"/>
      <protection hidden="1"/>
    </xf>
    <xf numFmtId="0" fontId="41" fillId="0" borderId="0" xfId="0" applyFont="1" applyAlignment="1" applyProtection="1">
      <alignment vertical="center"/>
      <protection hidden="1"/>
    </xf>
    <xf numFmtId="167" fontId="38" fillId="0" borderId="0" xfId="0" applyNumberFormat="1" applyFont="1" applyAlignment="1" applyProtection="1">
      <alignment horizontal="center" vertical="center"/>
      <protection hidden="1"/>
    </xf>
    <xf numFmtId="0" fontId="35" fillId="0" borderId="0" xfId="0" applyFont="1" applyAlignment="1">
      <alignment vertical="center"/>
    </xf>
    <xf numFmtId="0" fontId="38" fillId="0" borderId="0" xfId="0" applyFont="1" applyAlignment="1">
      <alignment vertical="center"/>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hidden="1"/>
    </xf>
    <xf numFmtId="167" fontId="38" fillId="0" borderId="0" xfId="0" applyNumberFormat="1" applyFont="1" applyAlignment="1" applyProtection="1">
      <alignment horizontal="center"/>
      <protection hidden="1"/>
    </xf>
    <xf numFmtId="2" fontId="38" fillId="0" borderId="0" xfId="0" applyNumberFormat="1" applyFont="1" applyAlignment="1" applyProtection="1">
      <alignment horizontal="center"/>
      <protection hidden="1"/>
    </xf>
    <xf numFmtId="167" fontId="38" fillId="0" borderId="0" xfId="0" applyNumberFormat="1" applyFont="1" applyProtection="1">
      <protection hidden="1"/>
    </xf>
    <xf numFmtId="168" fontId="47" fillId="0" borderId="0" xfId="0" applyNumberFormat="1" applyFont="1" applyProtection="1">
      <protection hidden="1"/>
    </xf>
    <xf numFmtId="49" fontId="47" fillId="0" borderId="0" xfId="0" applyNumberFormat="1" applyFont="1" applyProtection="1">
      <protection hidden="1"/>
    </xf>
    <xf numFmtId="0" fontId="47" fillId="0" borderId="0" xfId="0" applyFont="1" applyProtection="1">
      <protection hidden="1"/>
    </xf>
    <xf numFmtId="49" fontId="38" fillId="0" borderId="0" xfId="0" applyNumberFormat="1" applyFont="1" applyAlignment="1" applyProtection="1">
      <alignment horizontal="right"/>
      <protection hidden="1"/>
    </xf>
    <xf numFmtId="164" fontId="38" fillId="0" borderId="0" xfId="0" applyNumberFormat="1" applyFont="1" applyAlignment="1" applyProtection="1">
      <alignment horizontal="right"/>
      <protection hidden="1"/>
    </xf>
    <xf numFmtId="2" fontId="38" fillId="0" borderId="0" xfId="0" applyNumberFormat="1" applyFont="1" applyProtection="1">
      <protection hidden="1"/>
    </xf>
    <xf numFmtId="168" fontId="38" fillId="0" borderId="0" xfId="0" applyNumberFormat="1" applyFont="1" applyProtection="1">
      <protection hidden="1"/>
    </xf>
    <xf numFmtId="0" fontId="48" fillId="0" borderId="0" xfId="0" applyFont="1" applyAlignment="1" applyProtection="1">
      <alignment horizontal="center"/>
      <protection hidden="1"/>
    </xf>
    <xf numFmtId="0" fontId="38" fillId="0" borderId="0" xfId="0" applyFont="1"/>
    <xf numFmtId="0" fontId="38" fillId="0" borderId="0" xfId="0" applyFont="1" applyAlignment="1">
      <alignment horizontal="left"/>
    </xf>
    <xf numFmtId="0" fontId="38" fillId="0" borderId="42" xfId="0" applyFont="1" applyBorder="1" applyAlignment="1">
      <alignment horizontal="left"/>
    </xf>
    <xf numFmtId="0" fontId="49" fillId="0" borderId="0" xfId="0" applyFont="1" applyAlignment="1">
      <alignment vertical="center"/>
    </xf>
    <xf numFmtId="0" fontId="35" fillId="0" borderId="0" xfId="0" applyFont="1" applyAlignment="1">
      <alignment horizontal="centerContinuous"/>
    </xf>
    <xf numFmtId="169" fontId="38" fillId="0" borderId="0" xfId="0" applyNumberFormat="1" applyFont="1"/>
    <xf numFmtId="0" fontId="50" fillId="0" borderId="34" xfId="0" applyFont="1" applyBorder="1" applyAlignment="1">
      <alignment horizontal="left" vertical="center"/>
    </xf>
    <xf numFmtId="0" fontId="38" fillId="0" borderId="37" xfId="0" applyFont="1" applyBorder="1" applyAlignment="1">
      <alignment horizontal="center" vertical="center"/>
    </xf>
    <xf numFmtId="0" fontId="38" fillId="0" borderId="37" xfId="0" applyFont="1" applyBorder="1" applyAlignment="1">
      <alignment horizontal="center" vertical="center" wrapText="1"/>
    </xf>
    <xf numFmtId="2" fontId="38" fillId="0" borderId="37" xfId="0" applyNumberFormat="1" applyFont="1" applyBorder="1" applyAlignment="1">
      <alignment horizontal="center" vertical="center" wrapText="1"/>
    </xf>
    <xf numFmtId="0" fontId="40" fillId="0" borderId="24" xfId="0" applyFont="1" applyBorder="1" applyAlignment="1">
      <alignment horizontal="center" wrapText="1"/>
    </xf>
    <xf numFmtId="0" fontId="40" fillId="0" borderId="0" xfId="0" applyFont="1" applyAlignment="1">
      <alignment wrapText="1"/>
    </xf>
    <xf numFmtId="0" fontId="35" fillId="0" borderId="0" xfId="0" applyFont="1" applyAlignment="1">
      <alignment horizontal="center" vertical="center"/>
    </xf>
    <xf numFmtId="169" fontId="38" fillId="0" borderId="0" xfId="0" applyNumberFormat="1" applyFont="1" applyAlignment="1">
      <alignment vertical="center"/>
    </xf>
    <xf numFmtId="0" fontId="38" fillId="0" borderId="34" xfId="0" applyFont="1" applyBorder="1" applyAlignment="1">
      <alignment horizontal="left"/>
    </xf>
    <xf numFmtId="0" fontId="35" fillId="8" borderId="37" xfId="0" applyFont="1" applyFill="1" applyBorder="1" applyAlignment="1" applyProtection="1">
      <alignment horizontal="center"/>
      <protection locked="0"/>
    </xf>
    <xf numFmtId="0" fontId="35" fillId="8" borderId="42" xfId="0" applyFont="1" applyFill="1" applyBorder="1" applyAlignment="1" applyProtection="1">
      <alignment horizontal="center"/>
      <protection locked="0"/>
    </xf>
    <xf numFmtId="0" fontId="38" fillId="0" borderId="24" xfId="0" applyFont="1" applyBorder="1" applyAlignment="1">
      <alignment horizontal="left"/>
    </xf>
    <xf numFmtId="0" fontId="35" fillId="8" borderId="36" xfId="0" applyFont="1" applyFill="1" applyBorder="1" applyAlignment="1" applyProtection="1">
      <alignment horizontal="center"/>
      <protection locked="0"/>
    </xf>
    <xf numFmtId="0" fontId="35" fillId="8" borderId="0" xfId="0" applyFont="1" applyFill="1" applyAlignment="1" applyProtection="1">
      <alignment horizontal="center"/>
      <protection locked="0"/>
    </xf>
    <xf numFmtId="2" fontId="35" fillId="8" borderId="20" xfId="0" applyNumberFormat="1" applyFont="1" applyFill="1" applyBorder="1" applyAlignment="1" applyProtection="1">
      <alignment horizontal="center"/>
      <protection locked="0"/>
    </xf>
    <xf numFmtId="172" fontId="40" fillId="0" borderId="0" xfId="0" applyNumberFormat="1" applyFont="1" applyAlignment="1">
      <alignment horizontal="center" vertical="center" wrapText="1"/>
    </xf>
    <xf numFmtId="0" fontId="38" fillId="0" borderId="38" xfId="0" applyFont="1" applyBorder="1" applyAlignment="1">
      <alignment horizontal="left"/>
    </xf>
    <xf numFmtId="0" fontId="35" fillId="8" borderId="39" xfId="0" applyFont="1" applyFill="1" applyBorder="1" applyAlignment="1" applyProtection="1">
      <alignment horizontal="center"/>
      <protection locked="0"/>
    </xf>
    <xf numFmtId="0" fontId="35" fillId="8" borderId="28" xfId="0" applyFont="1" applyFill="1" applyBorder="1" applyAlignment="1" applyProtection="1">
      <alignment horizontal="center"/>
      <protection locked="0"/>
    </xf>
    <xf numFmtId="2" fontId="35" fillId="8" borderId="29" xfId="0" applyNumberFormat="1" applyFont="1" applyFill="1" applyBorder="1" applyAlignment="1" applyProtection="1">
      <alignment horizontal="center"/>
      <protection locked="0"/>
    </xf>
    <xf numFmtId="0" fontId="35" fillId="0" borderId="0" xfId="0" applyFont="1" applyAlignment="1">
      <alignment horizontal="center"/>
    </xf>
    <xf numFmtId="0" fontId="38" fillId="0" borderId="0" xfId="0" applyFont="1" applyAlignment="1">
      <alignment horizontal="right"/>
    </xf>
    <xf numFmtId="1" fontId="42" fillId="0" borderId="0" xfId="0" applyNumberFormat="1" applyFont="1" applyAlignment="1">
      <alignment horizontal="center"/>
    </xf>
    <xf numFmtId="0" fontId="38" fillId="0" borderId="0" xfId="0" quotePrefix="1" applyFont="1"/>
    <xf numFmtId="0" fontId="51" fillId="0" borderId="0" xfId="0" applyFont="1" applyAlignment="1">
      <alignment vertical="center" wrapText="1"/>
    </xf>
    <xf numFmtId="0" fontId="38" fillId="0" borderId="0" xfId="0" applyFont="1" applyAlignment="1">
      <alignment horizontal="center" vertical="center"/>
    </xf>
    <xf numFmtId="0" fontId="35" fillId="8" borderId="54" xfId="0" applyFont="1" applyFill="1" applyBorder="1" applyAlignment="1" applyProtection="1">
      <alignment horizontal="center" vertical="center"/>
      <protection locked="0"/>
    </xf>
    <xf numFmtId="0" fontId="35" fillId="8" borderId="43" xfId="0" applyFont="1" applyFill="1" applyBorder="1" applyAlignment="1" applyProtection="1">
      <alignment horizontal="center" vertical="center"/>
      <protection locked="0"/>
    </xf>
    <xf numFmtId="0" fontId="35" fillId="8" borderId="44" xfId="0" applyFont="1" applyFill="1" applyBorder="1" applyAlignment="1" applyProtection="1">
      <alignment horizontal="center" vertical="center"/>
      <protection locked="0"/>
    </xf>
    <xf numFmtId="164" fontId="42" fillId="0" borderId="0" xfId="0" applyNumberFormat="1" applyFont="1" applyAlignment="1">
      <alignment horizontal="center"/>
    </xf>
    <xf numFmtId="1" fontId="38" fillId="0" borderId="0" xfId="0" applyNumberFormat="1" applyFont="1"/>
    <xf numFmtId="0" fontId="35" fillId="8" borderId="33" xfId="0" applyFont="1" applyFill="1" applyBorder="1" applyAlignment="1" applyProtection="1">
      <alignment horizontal="center" vertical="center"/>
      <protection locked="0"/>
    </xf>
    <xf numFmtId="0" fontId="35" fillId="8" borderId="31" xfId="0" applyFont="1" applyFill="1" applyBorder="1" applyAlignment="1" applyProtection="1">
      <alignment horizontal="center" vertical="center"/>
      <protection locked="0"/>
    </xf>
    <xf numFmtId="0" fontId="35" fillId="0" borderId="31" xfId="0" applyFont="1" applyBorder="1" applyAlignment="1">
      <alignment horizontal="center" vertical="center"/>
    </xf>
    <xf numFmtId="0" fontId="35" fillId="0" borderId="0" xfId="0" applyFont="1"/>
    <xf numFmtId="0" fontId="35" fillId="0" borderId="0" xfId="0" applyFont="1" applyAlignment="1">
      <alignment horizontal="center" vertical="center" wrapText="1"/>
    </xf>
    <xf numFmtId="49" fontId="35" fillId="0" borderId="68" xfId="0" applyNumberFormat="1" applyFont="1" applyBorder="1" applyAlignment="1">
      <alignment horizontal="right" vertical="center"/>
    </xf>
    <xf numFmtId="0" fontId="35" fillId="8" borderId="64" xfId="0" applyFont="1" applyFill="1" applyBorder="1" applyAlignment="1" applyProtection="1">
      <alignment horizontal="center" vertical="center"/>
      <protection locked="0"/>
    </xf>
    <xf numFmtId="0" fontId="35" fillId="0" borderId="69" xfId="0" applyFont="1" applyBorder="1" applyAlignment="1">
      <alignment horizontal="center" vertical="center"/>
    </xf>
    <xf numFmtId="0" fontId="35" fillId="0" borderId="59" xfId="0" applyFont="1" applyBorder="1" applyAlignment="1">
      <alignment horizontal="right"/>
    </xf>
    <xf numFmtId="2" fontId="35" fillId="8" borderId="52" xfId="0" applyNumberFormat="1" applyFont="1" applyFill="1" applyBorder="1" applyAlignment="1" applyProtection="1">
      <alignment horizontal="center"/>
      <protection locked="0"/>
    </xf>
    <xf numFmtId="164" fontId="35" fillId="8" borderId="52" xfId="0" applyNumberFormat="1" applyFont="1" applyFill="1" applyBorder="1" applyAlignment="1" applyProtection="1">
      <alignment horizontal="center"/>
      <protection locked="0"/>
    </xf>
    <xf numFmtId="0" fontId="35" fillId="0" borderId="60" xfId="0" quotePrefix="1" applyFont="1" applyBorder="1" applyAlignment="1">
      <alignment horizontal="center" vertical="center"/>
    </xf>
    <xf numFmtId="0" fontId="39" fillId="0" borderId="60" xfId="0" quotePrefix="1" applyFont="1" applyBorder="1"/>
    <xf numFmtId="1" fontId="35" fillId="8" borderId="52" xfId="0" applyNumberFormat="1" applyFont="1" applyFill="1" applyBorder="1" applyAlignment="1" applyProtection="1">
      <alignment horizontal="center"/>
      <protection locked="0"/>
    </xf>
    <xf numFmtId="0" fontId="38" fillId="0" borderId="60" xfId="0" quotePrefix="1" applyFont="1" applyBorder="1"/>
    <xf numFmtId="1" fontId="35" fillId="0" borderId="0" xfId="0" applyNumberFormat="1" applyFont="1" applyAlignment="1">
      <alignment horizontal="center"/>
    </xf>
    <xf numFmtId="0" fontId="35" fillId="0" borderId="61" xfId="0" applyFont="1" applyBorder="1" applyAlignment="1">
      <alignment horizontal="right"/>
    </xf>
    <xf numFmtId="1" fontId="35" fillId="0" borderId="56" xfId="0" applyNumberFormat="1" applyFont="1" applyBorder="1" applyAlignment="1">
      <alignment horizontal="center" vertical="center"/>
    </xf>
    <xf numFmtId="0" fontId="38" fillId="0" borderId="62" xfId="0" quotePrefix="1" applyFont="1" applyBorder="1"/>
    <xf numFmtId="0" fontId="49" fillId="0" borderId="0" xfId="0" applyFont="1"/>
    <xf numFmtId="0" fontId="38" fillId="0" borderId="0" xfId="0" applyFont="1" applyAlignment="1">
      <alignment horizontal="right" wrapText="1"/>
    </xf>
    <xf numFmtId="0" fontId="38" fillId="0" borderId="0" xfId="0" applyFont="1" applyAlignment="1">
      <alignment wrapText="1"/>
    </xf>
    <xf numFmtId="0" fontId="38" fillId="0" borderId="33" xfId="0" applyFont="1" applyBorder="1" applyAlignment="1">
      <alignment horizontal="center" vertical="center"/>
    </xf>
    <xf numFmtId="1" fontId="35" fillId="0" borderId="0" xfId="0" applyNumberFormat="1" applyFont="1"/>
    <xf numFmtId="0" fontId="49" fillId="0" borderId="38" xfId="0" applyFont="1" applyBorder="1" applyAlignment="1">
      <alignment horizontal="left"/>
    </xf>
    <xf numFmtId="0" fontId="38" fillId="0" borderId="39" xfId="0" applyFont="1" applyBorder="1" applyAlignment="1">
      <alignment horizontal="center"/>
    </xf>
    <xf numFmtId="0" fontId="38" fillId="0" borderId="33" xfId="0" applyFont="1" applyBorder="1" applyAlignment="1">
      <alignment horizontal="center"/>
    </xf>
    <xf numFmtId="0" fontId="38" fillId="0" borderId="38" xfId="0" applyFont="1" applyBorder="1" applyAlignment="1">
      <alignment horizontal="center"/>
    </xf>
    <xf numFmtId="2" fontId="35" fillId="0" borderId="33" xfId="0" applyNumberFormat="1" applyFont="1" applyBorder="1" applyAlignment="1">
      <alignment horizontal="centerContinuous"/>
    </xf>
    <xf numFmtId="2" fontId="38" fillId="0" borderId="33" xfId="0" applyNumberFormat="1" applyFont="1" applyBorder="1" applyAlignment="1">
      <alignment horizontal="center"/>
    </xf>
    <xf numFmtId="0" fontId="49" fillId="0" borderId="30" xfId="0" applyFont="1" applyBorder="1"/>
    <xf numFmtId="0" fontId="38" fillId="0" borderId="36" xfId="0" applyFont="1" applyBorder="1" applyAlignment="1">
      <alignment horizontal="center" vertical="center"/>
    </xf>
    <xf numFmtId="0" fontId="38" fillId="0" borderId="39" xfId="0" applyFont="1" applyBorder="1" applyAlignment="1">
      <alignment horizontal="center" vertical="center"/>
    </xf>
    <xf numFmtId="0" fontId="42" fillId="0" borderId="0" xfId="0" applyFont="1" applyAlignment="1">
      <alignment horizontal="center"/>
    </xf>
    <xf numFmtId="2" fontId="38" fillId="0" borderId="0" xfId="0" applyNumberFormat="1" applyFont="1" applyAlignment="1">
      <alignment horizontal="center"/>
    </xf>
    <xf numFmtId="0" fontId="47" fillId="0" borderId="0" xfId="0" applyFont="1"/>
    <xf numFmtId="168" fontId="47" fillId="0" borderId="0" xfId="0" applyNumberFormat="1" applyFont="1"/>
    <xf numFmtId="49" fontId="47" fillId="0" borderId="0" xfId="0" applyNumberFormat="1" applyFont="1"/>
    <xf numFmtId="49" fontId="38" fillId="0" borderId="0" xfId="0" applyNumberFormat="1" applyFont="1" applyAlignment="1">
      <alignment horizontal="right"/>
    </xf>
    <xf numFmtId="164" fontId="38" fillId="0" borderId="0" xfId="0" applyNumberFormat="1" applyFont="1" applyAlignment="1">
      <alignment horizontal="right"/>
    </xf>
    <xf numFmtId="2" fontId="38" fillId="0" borderId="0" xfId="0" applyNumberFormat="1" applyFont="1"/>
    <xf numFmtId="167" fontId="38" fillId="0" borderId="0" xfId="0" applyNumberFormat="1" applyFont="1"/>
    <xf numFmtId="168" fontId="38" fillId="0" borderId="0" xfId="0" applyNumberFormat="1" applyFont="1"/>
    <xf numFmtId="49" fontId="38" fillId="0" borderId="0" xfId="0" applyNumberFormat="1" applyFont="1"/>
    <xf numFmtId="0" fontId="48" fillId="0" borderId="0" xfId="0" applyFont="1" applyAlignment="1">
      <alignment horizontal="center"/>
    </xf>
    <xf numFmtId="0" fontId="40" fillId="0" borderId="0" xfId="0" applyFont="1" applyAlignment="1">
      <alignment vertical="center" wrapText="1"/>
    </xf>
    <xf numFmtId="164" fontId="40" fillId="0" borderId="0" xfId="0" applyNumberFormat="1" applyFont="1" applyAlignment="1">
      <alignment vertical="center" wrapText="1"/>
    </xf>
    <xf numFmtId="172" fontId="40" fillId="0" borderId="0" xfId="0" applyNumberFormat="1" applyFont="1"/>
    <xf numFmtId="172" fontId="40" fillId="0" borderId="0" xfId="0" applyNumberFormat="1" applyFont="1" applyAlignment="1">
      <alignment horizontal="center"/>
    </xf>
    <xf numFmtId="0" fontId="45" fillId="0" borderId="0" xfId="0" applyFont="1"/>
    <xf numFmtId="0" fontId="38" fillId="0" borderId="34" xfId="0" applyFont="1" applyBorder="1" applyAlignment="1">
      <alignment horizontal="left" vertical="center"/>
    </xf>
    <xf numFmtId="1" fontId="38" fillId="8" borderId="37" xfId="0" applyNumberFormat="1" applyFont="1" applyFill="1" applyBorder="1" applyAlignment="1" applyProtection="1">
      <alignment horizontal="center"/>
      <protection locked="0"/>
    </xf>
    <xf numFmtId="164" fontId="45" fillId="0" borderId="35" xfId="0" applyNumberFormat="1" applyFont="1" applyBorder="1" applyAlignment="1">
      <alignment horizontal="center" vertical="center"/>
    </xf>
    <xf numFmtId="168" fontId="38" fillId="0" borderId="42" xfId="0" applyNumberFormat="1" applyFont="1" applyBorder="1" applyAlignment="1">
      <alignment horizontal="center"/>
    </xf>
    <xf numFmtId="167" fontId="38" fillId="0" borderId="37" xfId="0" applyNumberFormat="1" applyFont="1" applyBorder="1" applyAlignment="1">
      <alignment horizontal="center"/>
    </xf>
    <xf numFmtId="164" fontId="45" fillId="0" borderId="0" xfId="0" applyNumberFormat="1" applyFont="1" applyAlignment="1">
      <alignment horizontal="center" vertical="center"/>
    </xf>
    <xf numFmtId="0" fontId="38" fillId="0" borderId="24" xfId="0" applyFont="1" applyBorder="1" applyAlignment="1">
      <alignment horizontal="left" vertical="center"/>
    </xf>
    <xf numFmtId="1" fontId="38" fillId="8" borderId="36" xfId="0" applyNumberFormat="1" applyFont="1" applyFill="1" applyBorder="1" applyAlignment="1" applyProtection="1">
      <alignment horizontal="center"/>
      <protection locked="0"/>
    </xf>
    <xf numFmtId="164" fontId="45" fillId="0" borderId="20" xfId="0" applyNumberFormat="1" applyFont="1" applyBorder="1" applyAlignment="1">
      <alignment horizontal="center" vertical="center"/>
    </xf>
    <xf numFmtId="168" fontId="38" fillId="0" borderId="0" xfId="0" applyNumberFormat="1" applyFont="1" applyAlignment="1">
      <alignment horizontal="center"/>
    </xf>
    <xf numFmtId="167" fontId="38" fillId="0" borderId="36" xfId="0" applyNumberFormat="1" applyFont="1" applyBorder="1" applyAlignment="1">
      <alignment horizontal="center"/>
    </xf>
    <xf numFmtId="0" fontId="38" fillId="0" borderId="38" xfId="0" applyFont="1" applyBorder="1" applyAlignment="1">
      <alignment horizontal="left" vertical="center"/>
    </xf>
    <xf numFmtId="1" fontId="38" fillId="8" borderId="39" xfId="0" applyNumberFormat="1" applyFont="1" applyFill="1" applyBorder="1" applyAlignment="1" applyProtection="1">
      <alignment horizontal="center"/>
      <protection locked="0"/>
    </xf>
    <xf numFmtId="164" fontId="45" fillId="0" borderId="29" xfId="0" applyNumberFormat="1" applyFont="1" applyBorder="1" applyAlignment="1">
      <alignment horizontal="center" vertical="center"/>
    </xf>
    <xf numFmtId="167" fontId="38" fillId="0" borderId="39" xfId="0" applyNumberFormat="1" applyFont="1" applyBorder="1" applyAlignment="1">
      <alignment horizontal="center"/>
    </xf>
    <xf numFmtId="1" fontId="38" fillId="0" borderId="37" xfId="0" applyNumberFormat="1" applyFont="1" applyBorder="1" applyAlignment="1">
      <alignment horizontal="center"/>
    </xf>
    <xf numFmtId="2" fontId="38" fillId="0" borderId="35" xfId="0" applyNumberFormat="1" applyFont="1" applyBorder="1" applyAlignment="1">
      <alignment horizontal="center"/>
    </xf>
    <xf numFmtId="49" fontId="38" fillId="0" borderId="0" xfId="0" applyNumberFormat="1" applyFont="1" applyAlignment="1">
      <alignment horizontal="left"/>
    </xf>
    <xf numFmtId="2" fontId="38" fillId="0" borderId="0" xfId="0" applyNumberFormat="1" applyFont="1" applyAlignment="1">
      <alignment horizontal="center" vertical="center"/>
    </xf>
    <xf numFmtId="167" fontId="38" fillId="0" borderId="0" xfId="0" applyNumberFormat="1" applyFont="1" applyAlignment="1">
      <alignment horizontal="center" vertical="center"/>
    </xf>
    <xf numFmtId="0" fontId="38" fillId="0" borderId="0" xfId="0" quotePrefix="1" applyFont="1" applyAlignment="1">
      <alignment horizontal="center" vertical="center"/>
    </xf>
    <xf numFmtId="1" fontId="38" fillId="0" borderId="36" xfId="0" applyNumberFormat="1" applyFont="1" applyBorder="1" applyAlignment="1">
      <alignment horizontal="center"/>
    </xf>
    <xf numFmtId="2" fontId="38" fillId="0" borderId="20" xfId="0" applyNumberFormat="1" applyFont="1" applyBorder="1" applyAlignment="1">
      <alignment horizontal="center"/>
    </xf>
    <xf numFmtId="0" fontId="54" fillId="0" borderId="0" xfId="0" applyFont="1"/>
    <xf numFmtId="1" fontId="38" fillId="0" borderId="0" xfId="0" applyNumberFormat="1" applyFont="1" applyAlignment="1">
      <alignment horizontal="center" vertical="center"/>
    </xf>
    <xf numFmtId="165" fontId="38" fillId="0" borderId="0" xfId="0" applyNumberFormat="1" applyFont="1" applyAlignment="1">
      <alignment horizontal="center" vertical="center"/>
    </xf>
    <xf numFmtId="165" fontId="41" fillId="0" borderId="0" xfId="0" applyNumberFormat="1" applyFont="1" applyAlignment="1">
      <alignment horizontal="left"/>
    </xf>
    <xf numFmtId="165" fontId="38" fillId="0" borderId="0" xfId="0" applyNumberFormat="1" applyFont="1"/>
    <xf numFmtId="2" fontId="35" fillId="4" borderId="29" xfId="0" applyNumberFormat="1" applyFont="1" applyFill="1" applyBorder="1" applyAlignment="1">
      <alignment horizontal="center"/>
    </xf>
    <xf numFmtId="166" fontId="38" fillId="0" borderId="39" xfId="0" applyNumberFormat="1" applyFont="1" applyBorder="1" applyAlignment="1">
      <alignment horizontal="center"/>
    </xf>
    <xf numFmtId="164" fontId="35" fillId="0" borderId="33" xfId="0" applyNumberFormat="1" applyFont="1" applyBorder="1" applyAlignment="1" applyProtection="1">
      <alignment horizontal="center"/>
      <protection locked="0"/>
    </xf>
    <xf numFmtId="165" fontId="35" fillId="0" borderId="0" xfId="0" applyNumberFormat="1" applyFont="1"/>
    <xf numFmtId="1" fontId="35" fillId="0" borderId="33" xfId="0" applyNumberFormat="1" applyFont="1" applyBorder="1" applyAlignment="1">
      <alignment horizontal="center" vertical="center"/>
    </xf>
    <xf numFmtId="0" fontId="38" fillId="0" borderId="31" xfId="0" applyFont="1" applyBorder="1" applyAlignment="1">
      <alignment horizontal="center" vertical="center"/>
    </xf>
    <xf numFmtId="167" fontId="45" fillId="0" borderId="33" xfId="0" applyNumberFormat="1" applyFont="1" applyBorder="1" applyAlignment="1">
      <alignment horizontal="center" vertical="center"/>
    </xf>
    <xf numFmtId="1" fontId="45" fillId="0" borderId="33" xfId="0" applyNumberFormat="1" applyFont="1" applyBorder="1" applyAlignment="1">
      <alignment horizontal="center"/>
    </xf>
    <xf numFmtId="164" fontId="38" fillId="0" borderId="36" xfId="0" applyNumberFormat="1" applyFont="1" applyBorder="1" applyAlignment="1">
      <alignment horizontal="center" vertical="center"/>
    </xf>
    <xf numFmtId="0" fontId="38" fillId="0" borderId="20" xfId="0" applyFont="1" applyBorder="1" applyAlignment="1">
      <alignment horizontal="center" vertical="center"/>
    </xf>
    <xf numFmtId="174" fontId="45" fillId="0" borderId="0" xfId="0" applyNumberFormat="1" applyFont="1"/>
    <xf numFmtId="167" fontId="38" fillId="0" borderId="36" xfId="0" applyNumberFormat="1" applyFont="1" applyBorder="1" applyAlignment="1">
      <alignment horizontal="center" vertical="center"/>
    </xf>
    <xf numFmtId="0" fontId="38" fillId="0" borderId="20" xfId="0" quotePrefix="1" applyFont="1" applyBorder="1" applyAlignment="1">
      <alignment horizontal="center" vertical="center"/>
    </xf>
    <xf numFmtId="165" fontId="38" fillId="0" borderId="39" xfId="0" applyNumberFormat="1" applyFont="1" applyBorder="1" applyAlignment="1">
      <alignment horizontal="center" vertical="center"/>
    </xf>
    <xf numFmtId="0" fontId="35" fillId="0" borderId="29" xfId="0" applyFont="1" applyBorder="1" applyAlignment="1">
      <alignment horizontal="center" vertical="center"/>
    </xf>
    <xf numFmtId="0" fontId="38" fillId="4" borderId="24" xfId="0" applyFont="1" applyFill="1" applyBorder="1"/>
    <xf numFmtId="0" fontId="38" fillId="0" borderId="42" xfId="0" applyFont="1" applyBorder="1" applyAlignment="1">
      <alignment horizontal="center" vertical="center"/>
    </xf>
    <xf numFmtId="164" fontId="38" fillId="0" borderId="33" xfId="0" applyNumberFormat="1" applyFont="1" applyBorder="1" applyAlignment="1">
      <alignment horizontal="center" vertical="center" wrapText="1"/>
    </xf>
    <xf numFmtId="49" fontId="38" fillId="0" borderId="19" xfId="0" applyNumberFormat="1" applyFont="1" applyBorder="1" applyAlignment="1">
      <alignment horizontal="center" vertical="center"/>
    </xf>
    <xf numFmtId="164" fontId="38" fillId="0" borderId="10" xfId="3" applyNumberFormat="1" applyFont="1" applyBorder="1" applyAlignment="1" applyProtection="1">
      <alignment horizontal="center" vertical="center"/>
    </xf>
    <xf numFmtId="164" fontId="38" fillId="0" borderId="40" xfId="3" applyNumberFormat="1" applyFont="1" applyBorder="1" applyAlignment="1" applyProtection="1">
      <alignment horizontal="center" vertical="center"/>
    </xf>
    <xf numFmtId="0" fontId="45" fillId="0" borderId="23" xfId="0" applyFont="1" applyBorder="1" applyAlignment="1">
      <alignment horizontal="center" vertical="center"/>
    </xf>
    <xf numFmtId="0" fontId="45" fillId="0" borderId="73" xfId="0" applyFont="1" applyBorder="1" applyAlignment="1">
      <alignment horizontal="center" vertical="center"/>
    </xf>
    <xf numFmtId="164" fontId="38" fillId="0" borderId="40" xfId="0" applyNumberFormat="1" applyFont="1" applyBorder="1" applyAlignment="1">
      <alignment horizontal="center" vertical="center"/>
    </xf>
    <xf numFmtId="164" fontId="38" fillId="0" borderId="73" xfId="0" applyNumberFormat="1" applyFont="1" applyBorder="1" applyAlignment="1">
      <alignment horizontal="center" vertical="center"/>
    </xf>
    <xf numFmtId="49" fontId="38" fillId="0" borderId="14" xfId="0" applyNumberFormat="1" applyFont="1" applyBorder="1" applyAlignment="1">
      <alignment horizontal="center" vertical="center"/>
    </xf>
    <xf numFmtId="164" fontId="38" fillId="0" borderId="14" xfId="3" applyNumberFormat="1" applyFont="1" applyBorder="1" applyAlignment="1" applyProtection="1">
      <alignment horizontal="center" vertical="center"/>
    </xf>
    <xf numFmtId="164" fontId="38" fillId="0" borderId="50" xfId="3" applyNumberFormat="1" applyFont="1" applyBorder="1" applyAlignment="1" applyProtection="1">
      <alignment horizontal="center" vertical="center"/>
    </xf>
    <xf numFmtId="0" fontId="45" fillId="0" borderId="15" xfId="0" applyFont="1" applyBorder="1" applyAlignment="1">
      <alignment horizontal="center" vertical="center"/>
    </xf>
    <xf numFmtId="0" fontId="45" fillId="0" borderId="50" xfId="0" applyFont="1" applyBorder="1" applyAlignment="1">
      <alignment horizontal="center" vertical="center"/>
    </xf>
    <xf numFmtId="164" fontId="38" fillId="0" borderId="50" xfId="0" applyNumberFormat="1" applyFont="1" applyBorder="1" applyAlignment="1">
      <alignment horizontal="center" vertical="center"/>
    </xf>
    <xf numFmtId="49" fontId="38" fillId="0" borderId="54" xfId="0" applyNumberFormat="1" applyFont="1" applyBorder="1" applyAlignment="1">
      <alignment horizontal="center" vertical="center"/>
    </xf>
    <xf numFmtId="164" fontId="38" fillId="0" borderId="54" xfId="3" applyNumberFormat="1" applyFont="1" applyBorder="1" applyAlignment="1" applyProtection="1">
      <alignment horizontal="center" vertical="center"/>
    </xf>
    <xf numFmtId="164" fontId="38" fillId="0" borderId="43" xfId="3" applyNumberFormat="1" applyFont="1" applyBorder="1" applyAlignment="1" applyProtection="1">
      <alignment horizontal="center" vertical="center"/>
    </xf>
    <xf numFmtId="0" fontId="45" fillId="0" borderId="45" xfId="0" applyFont="1" applyBorder="1" applyAlignment="1">
      <alignment horizontal="center" vertical="center"/>
    </xf>
    <xf numFmtId="0" fontId="45" fillId="0" borderId="43" xfId="0" applyFont="1" applyBorder="1" applyAlignment="1">
      <alignment horizontal="center" vertical="center"/>
    </xf>
    <xf numFmtId="164" fontId="38" fillId="0" borderId="43" xfId="0" applyNumberFormat="1" applyFont="1" applyBorder="1" applyAlignment="1">
      <alignment horizontal="center" vertical="center"/>
    </xf>
    <xf numFmtId="164" fontId="38" fillId="0" borderId="39" xfId="0" applyNumberFormat="1" applyFont="1" applyBorder="1" applyAlignment="1">
      <alignment horizontal="center" vertical="center"/>
    </xf>
    <xf numFmtId="2" fontId="38" fillId="0" borderId="29" xfId="0" applyNumberFormat="1" applyFont="1" applyBorder="1" applyAlignment="1">
      <alignment horizontal="center"/>
    </xf>
    <xf numFmtId="0" fontId="55" fillId="0" borderId="0" xfId="0" applyFont="1" applyAlignment="1" applyProtection="1">
      <alignment vertical="center"/>
      <protection locked="0"/>
    </xf>
    <xf numFmtId="167" fontId="38" fillId="0" borderId="0" xfId="0" applyNumberFormat="1" applyFont="1" applyAlignment="1">
      <alignment vertical="center"/>
    </xf>
    <xf numFmtId="0" fontId="38" fillId="0" borderId="0" xfId="0" applyFont="1" applyAlignment="1">
      <alignment vertical="center" wrapText="1"/>
    </xf>
    <xf numFmtId="49" fontId="38" fillId="0" borderId="0" xfId="0" applyNumberFormat="1" applyFont="1" applyAlignment="1">
      <alignment horizontal="center"/>
    </xf>
    <xf numFmtId="1" fontId="38" fillId="0" borderId="0" xfId="0" applyNumberFormat="1" applyFont="1" applyAlignment="1">
      <alignment horizontal="center"/>
    </xf>
    <xf numFmtId="164" fontId="38" fillId="0" borderId="0" xfId="3" applyNumberFormat="1" applyFont="1" applyFill="1" applyBorder="1" applyAlignment="1" applyProtection="1">
      <alignment horizontal="center"/>
    </xf>
    <xf numFmtId="0" fontId="27" fillId="0" borderId="0" xfId="0" applyFont="1" applyAlignment="1">
      <alignment horizontal="left" vertical="center"/>
    </xf>
    <xf numFmtId="14" fontId="28" fillId="0" borderId="0" xfId="0" applyNumberFormat="1" applyFont="1" applyAlignment="1">
      <alignment horizontal="left"/>
    </xf>
    <xf numFmtId="0" fontId="26" fillId="0" borderId="0" xfId="0" applyFont="1" applyAlignment="1">
      <alignment horizontal="left"/>
    </xf>
    <xf numFmtId="0" fontId="0" fillId="0" borderId="75" xfId="0" applyBorder="1" applyAlignment="1">
      <alignment horizontal="center" vertical="center"/>
    </xf>
    <xf numFmtId="0" fontId="0" fillId="0" borderId="76" xfId="0" applyBorder="1" applyAlignment="1">
      <alignment horizontal="center" vertical="center"/>
    </xf>
    <xf numFmtId="0" fontId="35" fillId="8" borderId="73" xfId="0" applyFont="1" applyFill="1" applyBorder="1" applyAlignment="1" applyProtection="1">
      <alignment horizontal="center"/>
      <protection locked="0"/>
    </xf>
    <xf numFmtId="168" fontId="35" fillId="8" borderId="73" xfId="0" applyNumberFormat="1" applyFont="1" applyFill="1" applyBorder="1" applyAlignment="1" applyProtection="1">
      <alignment horizontal="center" vertical="center"/>
      <protection locked="0"/>
    </xf>
    <xf numFmtId="0" fontId="35" fillId="8" borderId="50" xfId="0" applyFont="1" applyFill="1" applyBorder="1" applyAlignment="1" applyProtection="1">
      <alignment horizontal="center"/>
      <protection locked="0"/>
    </xf>
    <xf numFmtId="168" fontId="35" fillId="8" borderId="50" xfId="0" applyNumberFormat="1" applyFont="1" applyFill="1" applyBorder="1" applyAlignment="1" applyProtection="1">
      <alignment horizontal="center" vertical="center"/>
      <protection locked="0"/>
    </xf>
    <xf numFmtId="0" fontId="35" fillId="8" borderId="50" xfId="0" applyFont="1" applyFill="1" applyBorder="1" applyAlignment="1" applyProtection="1">
      <alignment horizontal="center" vertical="center" wrapText="1"/>
      <protection locked="0"/>
    </xf>
    <xf numFmtId="168" fontId="35" fillId="8" borderId="50" xfId="0" applyNumberFormat="1" applyFont="1" applyFill="1" applyBorder="1" applyAlignment="1" applyProtection="1">
      <alignment horizontal="center"/>
      <protection locked="0"/>
    </xf>
    <xf numFmtId="0" fontId="35" fillId="8" borderId="43" xfId="0" applyFont="1" applyFill="1" applyBorder="1" applyAlignment="1" applyProtection="1">
      <alignment horizontal="center" vertical="center" wrapText="1"/>
      <protection locked="0"/>
    </xf>
    <xf numFmtId="168" fontId="35" fillId="8" borderId="43" xfId="0" applyNumberFormat="1" applyFont="1" applyFill="1" applyBorder="1" applyAlignment="1" applyProtection="1">
      <alignment horizontal="center"/>
      <protection locked="0"/>
    </xf>
    <xf numFmtId="168" fontId="35" fillId="8" borderId="43" xfId="0" applyNumberFormat="1" applyFont="1" applyFill="1" applyBorder="1" applyAlignment="1" applyProtection="1">
      <alignment horizontal="center" vertical="center"/>
      <protection locked="0"/>
    </xf>
    <xf numFmtId="0" fontId="0" fillId="0" borderId="14" xfId="0" applyBorder="1" applyAlignment="1">
      <alignment horizontal="center" vertical="center"/>
    </xf>
    <xf numFmtId="0" fontId="0" fillId="0" borderId="54" xfId="0"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center" vertical="center"/>
    </xf>
    <xf numFmtId="164" fontId="15" fillId="0" borderId="15" xfId="0" applyNumberFormat="1" applyFont="1" applyBorder="1" applyAlignment="1">
      <alignment horizontal="center" vertical="center"/>
    </xf>
    <xf numFmtId="164" fontId="15" fillId="0" borderId="45" xfId="0" applyNumberFormat="1" applyFont="1" applyBorder="1" applyAlignment="1">
      <alignment horizontal="center" vertical="center"/>
    </xf>
    <xf numFmtId="164" fontId="0" fillId="0" borderId="60" xfId="0" applyNumberFormat="1" applyBorder="1" applyAlignment="1">
      <alignment horizontal="center" vertical="center"/>
    </xf>
    <xf numFmtId="164" fontId="0" fillId="0" borderId="62" xfId="0" applyNumberFormat="1" applyBorder="1" applyAlignment="1">
      <alignment horizontal="center" vertical="center"/>
    </xf>
    <xf numFmtId="0" fontId="36" fillId="0" borderId="0" xfId="0" applyFont="1" applyAlignment="1">
      <alignment vertical="center"/>
    </xf>
    <xf numFmtId="14" fontId="26" fillId="8" borderId="69" xfId="0" applyNumberFormat="1" applyFont="1" applyFill="1" applyBorder="1" applyAlignment="1" applyProtection="1">
      <alignment horizontal="center" vertical="center"/>
      <protection locked="0"/>
    </xf>
    <xf numFmtId="0" fontId="26" fillId="0" borderId="0" xfId="0" applyFont="1" applyAlignment="1">
      <alignment horizontal="left" vertical="center"/>
    </xf>
    <xf numFmtId="0" fontId="15" fillId="0" borderId="24" xfId="0" applyFont="1" applyBorder="1" applyAlignment="1">
      <alignment horizontal="center" vertical="center"/>
    </xf>
    <xf numFmtId="0" fontId="15" fillId="0" borderId="14" xfId="0" applyFont="1" applyBorder="1" applyAlignment="1">
      <alignment horizontal="center" vertical="top"/>
    </xf>
    <xf numFmtId="0" fontId="15" fillId="0" borderId="66" xfId="0" applyFont="1" applyBorder="1" applyAlignment="1">
      <alignment horizontal="center" vertical="center"/>
    </xf>
    <xf numFmtId="0" fontId="15" fillId="0" borderId="14" xfId="0" applyFont="1" applyBorder="1" applyAlignment="1">
      <alignment horizontal="center" vertical="center"/>
    </xf>
    <xf numFmtId="0" fontId="15" fillId="0" borderId="54" xfId="0" applyFont="1" applyBorder="1" applyAlignment="1">
      <alignment horizontal="center" vertical="center"/>
    </xf>
    <xf numFmtId="0" fontId="15" fillId="0" borderId="0" xfId="0" applyFont="1"/>
    <xf numFmtId="0" fontId="18" fillId="0" borderId="0" xfId="0" applyFont="1" applyAlignment="1">
      <alignment horizontal="left" vertical="center"/>
    </xf>
    <xf numFmtId="0" fontId="16" fillId="0" borderId="0" xfId="0" applyFont="1" applyAlignment="1">
      <alignment vertical="center"/>
    </xf>
    <xf numFmtId="164" fontId="14" fillId="8" borderId="30" xfId="0" applyNumberFormat="1" applyFont="1" applyFill="1" applyBorder="1" applyAlignment="1">
      <alignment vertical="center"/>
    </xf>
    <xf numFmtId="164" fontId="14" fillId="8" borderId="32" xfId="0" applyNumberFormat="1" applyFont="1" applyFill="1" applyBorder="1" applyAlignment="1">
      <alignment vertical="center"/>
    </xf>
    <xf numFmtId="164" fontId="14" fillId="8" borderId="31" xfId="0" applyNumberFormat="1" applyFont="1" applyFill="1" applyBorder="1" applyAlignment="1">
      <alignment vertical="center"/>
    </xf>
    <xf numFmtId="164" fontId="14" fillId="0" borderId="70" xfId="0" applyNumberFormat="1" applyFont="1" applyBorder="1" applyAlignment="1">
      <alignment horizontal="left" vertical="center"/>
    </xf>
    <xf numFmtId="0" fontId="0" fillId="0" borderId="71" xfId="0" applyBorder="1" applyAlignment="1">
      <alignment vertical="center"/>
    </xf>
    <xf numFmtId="0" fontId="0" fillId="0" borderId="72" xfId="0" applyBorder="1" applyAlignment="1">
      <alignment vertical="center"/>
    </xf>
    <xf numFmtId="0" fontId="15" fillId="0" borderId="0" xfId="0" applyFont="1" applyAlignment="1">
      <alignment horizontal="left" vertical="center" wrapText="1"/>
    </xf>
    <xf numFmtId="0" fontId="16" fillId="0" borderId="0" xfId="0" applyFont="1" applyAlignment="1">
      <alignment vertical="center" wrapText="1"/>
    </xf>
    <xf numFmtId="0" fontId="0" fillId="0" borderId="0" xfId="0" applyAlignment="1">
      <alignment horizontal="left" vertical="center"/>
    </xf>
    <xf numFmtId="0" fontId="15" fillId="0" borderId="0" xfId="0" applyFont="1" applyAlignment="1">
      <alignment vertical="center"/>
    </xf>
    <xf numFmtId="0" fontId="14" fillId="0" borderId="0" xfId="0" applyFont="1"/>
    <xf numFmtId="0" fontId="17" fillId="0" borderId="0" xfId="0" applyFont="1" applyAlignment="1">
      <alignment horizontal="left" vertical="center" wrapText="1"/>
    </xf>
    <xf numFmtId="0" fontId="12" fillId="0" borderId="0" xfId="0" applyFont="1" applyAlignment="1">
      <alignment horizontal="left" vertical="center"/>
    </xf>
    <xf numFmtId="0" fontId="14" fillId="0" borderId="0" xfId="0" applyFont="1" applyAlignment="1">
      <alignment horizontal="left"/>
    </xf>
    <xf numFmtId="0" fontId="47" fillId="0" borderId="0" xfId="0" applyFont="1" applyAlignment="1">
      <alignment horizontal="center" vertical="center"/>
    </xf>
    <xf numFmtId="0" fontId="15" fillId="0" borderId="0" xfId="0" applyFont="1" applyAlignment="1">
      <alignment vertical="center" wrapText="1"/>
    </xf>
    <xf numFmtId="0" fontId="15" fillId="0" borderId="0" xfId="0" applyFont="1" applyAlignment="1">
      <alignment horizontal="left" vertical="center"/>
    </xf>
    <xf numFmtId="0" fontId="15" fillId="0" borderId="0" xfId="0" quotePrefix="1" applyFont="1" applyAlignment="1">
      <alignment horizontal="left" vertical="center" wrapText="1" readingOrder="1"/>
    </xf>
    <xf numFmtId="0" fontId="15" fillId="0" borderId="0" xfId="0" quotePrefix="1" applyFont="1" applyAlignment="1">
      <alignment horizontal="left" vertical="top" wrapText="1"/>
    </xf>
    <xf numFmtId="0" fontId="26" fillId="8" borderId="69" xfId="0" applyFont="1" applyFill="1" applyBorder="1" applyAlignment="1" applyProtection="1">
      <alignment horizontal="center"/>
      <protection locked="0"/>
    </xf>
    <xf numFmtId="172" fontId="37" fillId="0" borderId="15" xfId="0" applyNumberFormat="1" applyFont="1" applyBorder="1" applyAlignment="1">
      <alignment horizontal="left" vertical="center"/>
    </xf>
    <xf numFmtId="0" fontId="37" fillId="0" borderId="53" xfId="0" applyFont="1" applyBorder="1"/>
    <xf numFmtId="0" fontId="35" fillId="0" borderId="53" xfId="0" applyFont="1" applyBorder="1"/>
    <xf numFmtId="172" fontId="35" fillId="0" borderId="15" xfId="0" applyNumberFormat="1" applyFont="1" applyBorder="1" applyAlignment="1">
      <alignment horizontal="left" vertical="center"/>
    </xf>
    <xf numFmtId="0" fontId="38" fillId="0" borderId="29" xfId="0" applyFont="1" applyBorder="1" applyAlignment="1">
      <alignment horizontal="center" vertical="center"/>
    </xf>
    <xf numFmtId="0" fontId="45" fillId="0" borderId="39" xfId="0" applyFont="1" applyBorder="1" applyAlignment="1">
      <alignment horizontal="center" vertical="center"/>
    </xf>
    <xf numFmtId="49" fontId="35" fillId="8" borderId="33" xfId="3" applyNumberFormat="1" applyFont="1" applyFill="1" applyBorder="1" applyAlignment="1" applyProtection="1">
      <alignment horizontal="center" vertical="center"/>
      <protection locked="0"/>
    </xf>
    <xf numFmtId="49" fontId="35" fillId="8" borderId="31" xfId="3" applyNumberFormat="1" applyFont="1" applyFill="1" applyBorder="1" applyAlignment="1" applyProtection="1">
      <alignment horizontal="center" vertical="center"/>
      <protection locked="0"/>
    </xf>
    <xf numFmtId="172" fontId="35" fillId="0" borderId="0" xfId="0" applyNumberFormat="1" applyFont="1" applyAlignment="1">
      <alignment horizontal="left" vertical="center"/>
    </xf>
    <xf numFmtId="166" fontId="38" fillId="0" borderId="0" xfId="0" applyNumberFormat="1" applyFont="1" applyAlignment="1">
      <alignment horizontal="center"/>
    </xf>
    <xf numFmtId="1" fontId="38" fillId="0" borderId="0" xfId="0" applyNumberFormat="1" applyFont="1" applyAlignment="1">
      <alignment vertical="center"/>
    </xf>
    <xf numFmtId="2" fontId="45" fillId="0" borderId="33" xfId="0" applyNumberFormat="1" applyFont="1" applyBorder="1" applyAlignment="1">
      <alignment horizontal="center" vertical="center"/>
    </xf>
    <xf numFmtId="0" fontId="45" fillId="0" borderId="33" xfId="0" applyFont="1" applyBorder="1" applyAlignment="1">
      <alignment horizontal="center" vertical="center"/>
    </xf>
    <xf numFmtId="164" fontId="45" fillId="0" borderId="33" xfId="0" applyNumberFormat="1" applyFont="1" applyBorder="1" applyAlignment="1">
      <alignment horizontal="center" vertical="center"/>
    </xf>
    <xf numFmtId="1" fontId="35" fillId="0" borderId="0" xfId="0" applyNumberFormat="1" applyFont="1" applyAlignment="1">
      <alignment horizontal="center" vertical="center"/>
    </xf>
    <xf numFmtId="167" fontId="45" fillId="0" borderId="0" xfId="0" applyNumberFormat="1" applyFont="1" applyAlignment="1">
      <alignment horizontal="center" vertical="center"/>
    </xf>
    <xf numFmtId="49" fontId="38" fillId="0" borderId="0" xfId="0" applyNumberFormat="1" applyFont="1" applyAlignment="1">
      <alignment vertical="center"/>
    </xf>
    <xf numFmtId="1" fontId="45" fillId="0" borderId="0" xfId="0" applyNumberFormat="1" applyFont="1" applyAlignment="1">
      <alignment horizontal="center"/>
    </xf>
    <xf numFmtId="168" fontId="2" fillId="0" borderId="37" xfId="0" applyNumberFormat="1" applyFont="1" applyBorder="1"/>
    <xf numFmtId="177" fontId="2" fillId="0" borderId="0" xfId="0" applyNumberFormat="1" applyFont="1" applyAlignment="1">
      <alignment horizontal="center" vertical="center"/>
    </xf>
    <xf numFmtId="168" fontId="38" fillId="0" borderId="28" xfId="0" applyNumberFormat="1" applyFont="1" applyBorder="1" applyAlignment="1">
      <alignment horizontal="center"/>
    </xf>
    <xf numFmtId="0" fontId="38" fillId="0" borderId="42" xfId="0" applyFont="1" applyBorder="1" applyAlignment="1">
      <alignment horizontal="left" vertical="center"/>
    </xf>
    <xf numFmtId="0" fontId="38" fillId="0" borderId="0" xfId="0" applyFont="1" applyAlignment="1">
      <alignment horizontal="left" vertical="center"/>
    </xf>
    <xf numFmtId="1" fontId="45" fillId="0" borderId="37" xfId="0" applyNumberFormat="1" applyFont="1" applyBorder="1" applyAlignment="1">
      <alignment horizontal="center" vertical="center"/>
    </xf>
    <xf numFmtId="1" fontId="45" fillId="0" borderId="36" xfId="0" applyNumberFormat="1" applyFont="1" applyBorder="1" applyAlignment="1">
      <alignment horizontal="center" vertical="center"/>
    </xf>
    <xf numFmtId="1" fontId="45" fillId="0" borderId="39" xfId="0" applyNumberFormat="1" applyFont="1" applyBorder="1" applyAlignment="1">
      <alignment horizontal="center" vertical="center"/>
    </xf>
    <xf numFmtId="49" fontId="2" fillId="0" borderId="34"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38" xfId="0" applyNumberFormat="1" applyFont="1" applyBorder="1" applyAlignment="1">
      <alignment horizontal="center" vertical="center"/>
    </xf>
    <xf numFmtId="171" fontId="2" fillId="0" borderId="0" xfId="0" applyNumberFormat="1" applyFont="1"/>
    <xf numFmtId="0" fontId="45" fillId="0" borderId="40" xfId="0" applyFont="1" applyBorder="1" applyAlignment="1">
      <alignment horizontal="center" vertical="center"/>
    </xf>
    <xf numFmtId="0" fontId="45" fillId="0" borderId="10" xfId="0" applyFont="1" applyBorder="1" applyAlignment="1">
      <alignment horizontal="center" vertical="center"/>
    </xf>
    <xf numFmtId="0" fontId="45" fillId="0" borderId="19" xfId="0" applyFont="1" applyBorder="1" applyAlignment="1">
      <alignment horizontal="center" vertical="center"/>
    </xf>
    <xf numFmtId="0" fontId="45" fillId="0" borderId="38" xfId="0" applyFont="1" applyBorder="1" applyAlignment="1">
      <alignment horizontal="center" vertical="center"/>
    </xf>
    <xf numFmtId="1" fontId="45" fillId="8" borderId="33" xfId="0" applyNumberFormat="1" applyFont="1" applyFill="1" applyBorder="1" applyAlignment="1">
      <alignment horizontal="center" vertical="center"/>
    </xf>
    <xf numFmtId="164" fontId="38" fillId="8" borderId="42" xfId="0" applyNumberFormat="1" applyFont="1" applyFill="1" applyBorder="1" applyAlignment="1" applyProtection="1">
      <alignment horizontal="center"/>
      <protection locked="0"/>
    </xf>
    <xf numFmtId="164" fontId="38" fillId="8" borderId="0" xfId="0" applyNumberFormat="1" applyFont="1" applyFill="1" applyAlignment="1" applyProtection="1">
      <alignment horizontal="center"/>
      <protection locked="0"/>
    </xf>
    <xf numFmtId="164" fontId="38" fillId="8" borderId="28" xfId="0" applyNumberFormat="1" applyFont="1" applyFill="1" applyBorder="1" applyAlignment="1" applyProtection="1">
      <alignment horizontal="center"/>
      <protection locked="0"/>
    </xf>
    <xf numFmtId="0" fontId="39" fillId="0" borderId="0" xfId="0" applyFont="1" applyAlignment="1">
      <alignment horizontal="left" vertical="center"/>
    </xf>
    <xf numFmtId="14" fontId="58" fillId="0" borderId="0" xfId="0" applyNumberFormat="1" applyFont="1" applyAlignment="1">
      <alignment horizontal="left"/>
    </xf>
    <xf numFmtId="0" fontId="35" fillId="0" borderId="0" xfId="0" applyFont="1" applyAlignment="1">
      <alignment horizontal="left"/>
    </xf>
    <xf numFmtId="0" fontId="59" fillId="0" borderId="0" xfId="0" applyFont="1" applyAlignment="1">
      <alignment horizontal="centerContinuous"/>
    </xf>
    <xf numFmtId="0" fontId="35" fillId="0" borderId="34" xfId="0" applyFont="1" applyBorder="1"/>
    <xf numFmtId="0" fontId="38" fillId="0" borderId="42" xfId="0" applyFont="1" applyBorder="1"/>
    <xf numFmtId="165" fontId="38" fillId="0" borderId="35" xfId="0" applyNumberFormat="1" applyFont="1" applyBorder="1"/>
    <xf numFmtId="0" fontId="38" fillId="0" borderId="24" xfId="0" applyFont="1" applyBorder="1"/>
    <xf numFmtId="165" fontId="38" fillId="0" borderId="20" xfId="0" applyNumberFormat="1" applyFont="1" applyBorder="1"/>
    <xf numFmtId="0" fontId="35" fillId="0" borderId="38" xfId="0" applyFont="1" applyBorder="1"/>
    <xf numFmtId="165" fontId="38" fillId="0" borderId="28" xfId="0" applyNumberFormat="1" applyFont="1" applyBorder="1"/>
    <xf numFmtId="0" fontId="38" fillId="0" borderId="28" xfId="0" applyFont="1" applyBorder="1"/>
    <xf numFmtId="165" fontId="38" fillId="0" borderId="29" xfId="0" applyNumberFormat="1" applyFont="1" applyBorder="1"/>
    <xf numFmtId="0" fontId="38" fillId="0" borderId="31" xfId="0" applyFont="1" applyBorder="1" applyAlignment="1">
      <alignment horizontal="center" vertical="center" wrapText="1"/>
    </xf>
    <xf numFmtId="1" fontId="38" fillId="0" borderId="73" xfId="0" applyNumberFormat="1" applyFont="1" applyBorder="1" applyAlignment="1">
      <alignment horizontal="center" vertical="center"/>
    </xf>
    <xf numFmtId="164" fontId="45" fillId="0" borderId="23" xfId="0" applyNumberFormat="1" applyFont="1" applyBorder="1" applyAlignment="1">
      <alignment horizontal="center" vertical="center"/>
    </xf>
    <xf numFmtId="1" fontId="38" fillId="0" borderId="50" xfId="0" applyNumberFormat="1" applyFont="1" applyBorder="1" applyAlignment="1">
      <alignment horizontal="center" vertical="center"/>
    </xf>
    <xf numFmtId="164" fontId="45" fillId="0" borderId="15" xfId="0" applyNumberFormat="1" applyFont="1" applyBorder="1" applyAlignment="1">
      <alignment horizontal="center" vertical="center"/>
    </xf>
    <xf numFmtId="164" fontId="38" fillId="0" borderId="10" xfId="0" applyNumberFormat="1" applyFont="1" applyBorder="1" applyAlignment="1">
      <alignment horizontal="center" vertical="center"/>
    </xf>
    <xf numFmtId="164" fontId="38" fillId="0" borderId="14" xfId="0" applyNumberFormat="1" applyFont="1" applyBorder="1" applyAlignment="1">
      <alignment horizontal="center" vertical="center"/>
    </xf>
    <xf numFmtId="1" fontId="38" fillId="0" borderId="43" xfId="0" applyNumberFormat="1" applyFont="1" applyBorder="1" applyAlignment="1">
      <alignment horizontal="center" vertical="center"/>
    </xf>
    <xf numFmtId="164" fontId="45" fillId="0" borderId="45" xfId="0" applyNumberFormat="1" applyFont="1" applyBorder="1" applyAlignment="1">
      <alignment horizontal="center" vertical="center"/>
    </xf>
    <xf numFmtId="0" fontId="38" fillId="0" borderId="29" xfId="0" applyFont="1" applyBorder="1" applyAlignment="1" applyProtection="1">
      <alignment horizontal="center" vertical="center"/>
      <protection hidden="1"/>
    </xf>
    <xf numFmtId="49" fontId="38" fillId="0" borderId="19" xfId="0" applyNumberFormat="1" applyFont="1" applyBorder="1" applyAlignment="1">
      <alignment horizontal="center"/>
    </xf>
    <xf numFmtId="1" fontId="38" fillId="0" borderId="73" xfId="0" applyNumberFormat="1" applyFont="1" applyBorder="1" applyAlignment="1">
      <alignment horizontal="center"/>
    </xf>
    <xf numFmtId="164" fontId="38" fillId="0" borderId="73" xfId="3" applyNumberFormat="1" applyFont="1" applyBorder="1" applyAlignment="1" applyProtection="1">
      <alignment horizontal="center"/>
    </xf>
    <xf numFmtId="49" fontId="38" fillId="0" borderId="14" xfId="0" applyNumberFormat="1" applyFont="1" applyBorder="1" applyAlignment="1">
      <alignment horizontal="center"/>
    </xf>
    <xf numFmtId="2" fontId="38" fillId="0" borderId="50" xfId="0" applyNumberFormat="1" applyFont="1" applyBorder="1" applyAlignment="1">
      <alignment horizontal="center"/>
    </xf>
    <xf numFmtId="164" fontId="38" fillId="0" borderId="50" xfId="3" applyNumberFormat="1" applyFont="1" applyBorder="1" applyAlignment="1" applyProtection="1">
      <alignment horizontal="center"/>
    </xf>
    <xf numFmtId="167" fontId="38" fillId="0" borderId="28" xfId="0" applyNumberFormat="1" applyFont="1" applyBorder="1" applyAlignment="1">
      <alignment horizontal="center" vertical="center"/>
    </xf>
    <xf numFmtId="49" fontId="38" fillId="0" borderId="54" xfId="0" applyNumberFormat="1" applyFont="1" applyBorder="1" applyAlignment="1">
      <alignment horizontal="center"/>
    </xf>
    <xf numFmtId="2" fontId="38" fillId="0" borderId="43" xfId="0" applyNumberFormat="1" applyFont="1" applyBorder="1" applyAlignment="1">
      <alignment horizontal="center"/>
    </xf>
    <xf numFmtId="164" fontId="38" fillId="0" borderId="43" xfId="3" applyNumberFormat="1" applyFont="1" applyBorder="1" applyAlignment="1" applyProtection="1">
      <alignment horizontal="center"/>
    </xf>
    <xf numFmtId="0" fontId="38" fillId="0" borderId="0" xfId="0" applyFont="1" applyAlignment="1">
      <alignment horizontal="right" vertical="center"/>
    </xf>
    <xf numFmtId="164" fontId="31" fillId="0" borderId="39" xfId="0" applyNumberFormat="1" applyFont="1" applyBorder="1" applyAlignment="1">
      <alignment horizontal="center" vertical="center"/>
    </xf>
    <xf numFmtId="164" fontId="27" fillId="0" borderId="33" xfId="0" applyNumberFormat="1" applyFont="1" applyBorder="1" applyAlignment="1">
      <alignment horizontal="center" vertical="center"/>
    </xf>
    <xf numFmtId="164" fontId="31" fillId="0" borderId="33" xfId="0" applyNumberFormat="1" applyFont="1" applyBorder="1" applyAlignment="1">
      <alignment horizontal="center"/>
    </xf>
    <xf numFmtId="164" fontId="24" fillId="0" borderId="33" xfId="0" applyNumberFormat="1" applyFont="1" applyBorder="1" applyAlignment="1">
      <alignment horizontal="center" vertical="center"/>
    </xf>
    <xf numFmtId="1" fontId="27" fillId="0" borderId="41" xfId="0" applyNumberFormat="1" applyFont="1" applyBorder="1" applyAlignment="1">
      <alignment horizontal="center" vertical="center"/>
    </xf>
    <xf numFmtId="1" fontId="27" fillId="0" borderId="15" xfId="0" applyNumberFormat="1" applyFont="1" applyBorder="1" applyAlignment="1">
      <alignment horizontal="center" vertical="center"/>
    </xf>
    <xf numFmtId="1" fontId="27" fillId="0" borderId="45" xfId="0" applyNumberFormat="1" applyFont="1" applyBorder="1" applyAlignment="1">
      <alignment horizontal="center" vertical="center"/>
    </xf>
    <xf numFmtId="164" fontId="0" fillId="0" borderId="39" xfId="0" applyNumberFormat="1" applyBorder="1" applyAlignment="1">
      <alignment horizontal="center" vertical="center"/>
    </xf>
    <xf numFmtId="164" fontId="31" fillId="0" borderId="43" xfId="0" applyNumberFormat="1" applyFont="1" applyBorder="1" applyAlignment="1">
      <alignment horizontal="center"/>
    </xf>
    <xf numFmtId="1" fontId="27" fillId="0" borderId="73" xfId="0" applyNumberFormat="1" applyFont="1" applyBorder="1" applyAlignment="1">
      <alignment horizontal="center" vertical="center"/>
    </xf>
    <xf numFmtId="164" fontId="31" fillId="0" borderId="73" xfId="0" applyNumberFormat="1" applyFont="1" applyBorder="1" applyAlignment="1">
      <alignment horizontal="center" vertical="center"/>
    </xf>
    <xf numFmtId="0" fontId="26" fillId="8" borderId="20" xfId="0" applyFont="1" applyFill="1" applyBorder="1" applyAlignment="1" applyProtection="1">
      <alignment horizontal="center"/>
      <protection locked="0"/>
    </xf>
    <xf numFmtId="0" fontId="26" fillId="8" borderId="17" xfId="0" applyFont="1" applyFill="1" applyBorder="1" applyAlignment="1" applyProtection="1">
      <alignment horizontal="center"/>
      <protection locked="0"/>
    </xf>
    <xf numFmtId="0" fontId="64" fillId="0" borderId="52" xfId="0" applyFont="1" applyBorder="1" applyAlignment="1">
      <alignment horizontal="center" vertical="center"/>
    </xf>
    <xf numFmtId="0" fontId="27" fillId="0" borderId="53" xfId="0" applyFont="1" applyBorder="1" applyAlignment="1">
      <alignment vertical="center"/>
    </xf>
    <xf numFmtId="0" fontId="31" fillId="0" borderId="52" xfId="0" applyFont="1" applyBorder="1" applyAlignment="1">
      <alignment horizontal="left" vertical="center"/>
    </xf>
    <xf numFmtId="0" fontId="27" fillId="0" borderId="60" xfId="0" applyFont="1" applyBorder="1" applyAlignment="1">
      <alignment horizontal="left" vertical="center"/>
    </xf>
    <xf numFmtId="0" fontId="26" fillId="8" borderId="22" xfId="0" applyFont="1" applyFill="1" applyBorder="1" applyAlignment="1" applyProtection="1">
      <alignment horizontal="center"/>
      <protection locked="0"/>
    </xf>
    <xf numFmtId="0" fontId="38" fillId="0" borderId="52" xfId="0" applyFont="1" applyBorder="1"/>
    <xf numFmtId="0" fontId="45" fillId="0" borderId="52" xfId="0" applyFont="1" applyBorder="1"/>
    <xf numFmtId="0" fontId="24" fillId="0" borderId="65" xfId="0" applyFont="1" applyBorder="1" applyAlignment="1">
      <alignment horizontal="center"/>
    </xf>
    <xf numFmtId="0" fontId="0" fillId="0" borderId="60" xfId="0" applyBorder="1"/>
    <xf numFmtId="0" fontId="0" fillId="0" borderId="62" xfId="0" applyBorder="1"/>
    <xf numFmtId="0" fontId="13" fillId="0" borderId="51" xfId="0" applyFont="1" applyBorder="1" applyAlignment="1">
      <alignment horizontal="center" vertical="center"/>
    </xf>
    <xf numFmtId="0" fontId="14" fillId="0" borderId="55" xfId="0" applyFont="1" applyBorder="1" applyAlignment="1">
      <alignment horizontal="center" vertical="center"/>
    </xf>
    <xf numFmtId="2" fontId="26" fillId="0" borderId="8" xfId="0" applyNumberFormat="1" applyFont="1" applyBorder="1" applyAlignment="1">
      <alignment horizontal="center" vertical="center"/>
    </xf>
    <xf numFmtId="0" fontId="0" fillId="0" borderId="69" xfId="0" applyBorder="1"/>
    <xf numFmtId="0" fontId="27" fillId="0" borderId="69" xfId="0" applyFont="1" applyBorder="1"/>
    <xf numFmtId="0" fontId="12" fillId="0" borderId="0" xfId="0" applyFont="1"/>
    <xf numFmtId="2" fontId="35" fillId="8" borderId="35" xfId="0" applyNumberFormat="1" applyFont="1" applyFill="1" applyBorder="1" applyAlignment="1" applyProtection="1">
      <alignment horizontal="center"/>
      <protection locked="0"/>
    </xf>
    <xf numFmtId="0" fontId="45" fillId="4" borderId="0" xfId="0" applyFont="1" applyFill="1"/>
    <xf numFmtId="0" fontId="45" fillId="4" borderId="37" xfId="0" applyFont="1" applyFill="1" applyBorder="1"/>
    <xf numFmtId="0" fontId="45" fillId="4" borderId="36" xfId="0" applyFont="1" applyFill="1" applyBorder="1"/>
    <xf numFmtId="0" fontId="45" fillId="4" borderId="39" xfId="0" applyFont="1" applyFill="1" applyBorder="1"/>
    <xf numFmtId="2" fontId="38" fillId="4" borderId="28" xfId="0" applyNumberFormat="1" applyFont="1" applyFill="1" applyBorder="1" applyAlignment="1">
      <alignment horizontal="center"/>
    </xf>
    <xf numFmtId="0" fontId="0" fillId="0" borderId="0" xfId="0" applyAlignment="1">
      <alignment horizontal="left"/>
    </xf>
    <xf numFmtId="49" fontId="0" fillId="0" borderId="0" xfId="0" applyNumberFormat="1" applyAlignment="1">
      <alignment horizontal="left" vertical="center"/>
    </xf>
    <xf numFmtId="49" fontId="24" fillId="0" borderId="0" xfId="0" applyNumberFormat="1" applyFont="1" applyAlignment="1">
      <alignment horizontal="left" vertical="center"/>
    </xf>
    <xf numFmtId="49" fontId="15" fillId="0" borderId="0" xfId="0" applyNumberFormat="1" applyFont="1" applyAlignment="1">
      <alignment horizontal="left" vertical="center"/>
    </xf>
    <xf numFmtId="49" fontId="15" fillId="0" borderId="0" xfId="0" applyNumberFormat="1" applyFont="1" applyAlignment="1">
      <alignment vertical="center"/>
    </xf>
    <xf numFmtId="49" fontId="16" fillId="0" borderId="0" xfId="0" applyNumberFormat="1" applyFont="1" applyAlignment="1">
      <alignment horizontal="left" vertical="center"/>
    </xf>
    <xf numFmtId="49" fontId="16" fillId="0" borderId="0" xfId="0" applyNumberFormat="1" applyFont="1" applyAlignment="1">
      <alignment vertical="center"/>
    </xf>
    <xf numFmtId="49" fontId="13" fillId="0" borderId="0" xfId="0" applyNumberFormat="1" applyFont="1" applyAlignment="1">
      <alignment horizontal="left" vertical="center"/>
    </xf>
    <xf numFmtId="49" fontId="69" fillId="0" borderId="0" xfId="0" applyNumberFormat="1" applyFont="1" applyAlignment="1">
      <alignment horizontal="left" vertical="center"/>
    </xf>
    <xf numFmtId="49" fontId="17" fillId="0" borderId="0" xfId="0" applyNumberFormat="1" applyFont="1" applyAlignment="1">
      <alignment horizontal="left" vertical="center"/>
    </xf>
    <xf numFmtId="49" fontId="14" fillId="0" borderId="0" xfId="0" applyNumberFormat="1" applyFont="1" applyAlignment="1">
      <alignment vertical="center"/>
    </xf>
    <xf numFmtId="49" fontId="12" fillId="0" borderId="0" xfId="0" applyNumberFormat="1" applyFont="1" applyAlignment="1">
      <alignment horizontal="left" vertical="center"/>
    </xf>
    <xf numFmtId="49" fontId="14" fillId="0" borderId="0" xfId="0" applyNumberFormat="1" applyFont="1" applyAlignment="1">
      <alignment horizontal="left" vertical="center"/>
    </xf>
    <xf numFmtId="49" fontId="26" fillId="0" borderId="0" xfId="0" applyNumberFormat="1" applyFont="1" applyAlignment="1">
      <alignment vertical="center"/>
    </xf>
    <xf numFmtId="49" fontId="24" fillId="0" borderId="0" xfId="0" applyNumberFormat="1" applyFont="1" applyAlignment="1">
      <alignment vertical="center"/>
    </xf>
    <xf numFmtId="49" fontId="27" fillId="0" borderId="0" xfId="0" applyNumberFormat="1" applyFont="1" applyAlignment="1">
      <alignment vertical="center"/>
    </xf>
    <xf numFmtId="49" fontId="15" fillId="0" borderId="0" xfId="0" applyNumberFormat="1" applyFont="1" applyAlignment="1">
      <alignment horizontal="left" vertical="center" wrapText="1"/>
    </xf>
    <xf numFmtId="49" fontId="0" fillId="0" borderId="0" xfId="0" applyNumberFormat="1" applyAlignment="1">
      <alignment horizontal="center" vertical="center"/>
    </xf>
    <xf numFmtId="49" fontId="47" fillId="0" borderId="0" xfId="0" applyNumberFormat="1" applyFont="1" applyAlignment="1">
      <alignment horizontal="center" vertical="center"/>
    </xf>
    <xf numFmtId="49" fontId="0" fillId="0" borderId="0" xfId="0" applyNumberFormat="1" applyAlignment="1">
      <alignment horizontal="left" vertical="center" wrapText="1"/>
    </xf>
    <xf numFmtId="49" fontId="15" fillId="0" borderId="0" xfId="0" quotePrefix="1" applyNumberFormat="1" applyFont="1" applyAlignment="1">
      <alignment horizontal="left" vertical="center" wrapText="1" readingOrder="1"/>
    </xf>
    <xf numFmtId="49" fontId="15" fillId="0" borderId="0" xfId="0" quotePrefix="1" applyNumberFormat="1" applyFont="1" applyAlignment="1">
      <alignment horizontal="left" vertical="center" wrapText="1"/>
    </xf>
    <xf numFmtId="0" fontId="0" fillId="0" borderId="39" xfId="0" applyBorder="1" applyAlignment="1">
      <alignment horizontal="center" vertical="center"/>
    </xf>
    <xf numFmtId="0" fontId="27" fillId="0" borderId="32" xfId="0" applyFont="1" applyBorder="1" applyAlignment="1">
      <alignment horizontal="center" vertical="center"/>
    </xf>
    <xf numFmtId="0" fontId="26" fillId="8" borderId="6" xfId="0" applyFont="1" applyFill="1" applyBorder="1" applyAlignment="1" applyProtection="1">
      <alignment horizontal="left"/>
      <protection locked="0"/>
    </xf>
    <xf numFmtId="0" fontId="26" fillId="8" borderId="22" xfId="0" applyFont="1" applyFill="1" applyBorder="1" applyAlignment="1" applyProtection="1">
      <alignment horizontal="left"/>
      <protection locked="0"/>
    </xf>
    <xf numFmtId="0" fontId="71" fillId="0" borderId="0" xfId="0" applyFont="1" applyAlignment="1">
      <alignment vertical="center"/>
    </xf>
    <xf numFmtId="164" fontId="14" fillId="0" borderId="42" xfId="0" applyNumberFormat="1" applyFont="1" applyBorder="1" applyAlignment="1">
      <alignment horizontal="center" vertical="center"/>
    </xf>
    <xf numFmtId="0" fontId="76" fillId="0" borderId="0" xfId="0" applyFont="1" applyAlignment="1">
      <alignment horizontal="left" vertical="center"/>
    </xf>
    <xf numFmtId="0" fontId="12" fillId="0" borderId="0" xfId="0" applyFont="1" applyAlignment="1">
      <alignment vertical="center" wrapText="1"/>
    </xf>
    <xf numFmtId="0" fontId="76" fillId="0" borderId="0" xfId="0" applyFont="1"/>
    <xf numFmtId="0" fontId="15" fillId="0" borderId="0" xfId="0" applyFont="1" applyAlignment="1">
      <alignment horizontal="left"/>
    </xf>
    <xf numFmtId="0" fontId="12" fillId="0" borderId="0" xfId="0" applyFont="1" applyAlignment="1">
      <alignment vertical="center"/>
    </xf>
    <xf numFmtId="0" fontId="76" fillId="0" borderId="0" xfId="0" applyFont="1" applyAlignment="1">
      <alignment vertical="center"/>
    </xf>
    <xf numFmtId="49" fontId="76" fillId="0" borderId="0" xfId="0" applyNumberFormat="1" applyFont="1" applyAlignment="1">
      <alignment vertical="center"/>
    </xf>
    <xf numFmtId="49" fontId="76" fillId="0" borderId="0" xfId="0" applyNumberFormat="1" applyFont="1" applyAlignment="1">
      <alignment horizontal="left" vertical="center"/>
    </xf>
    <xf numFmtId="49" fontId="76" fillId="0" borderId="0" xfId="0" applyNumberFormat="1" applyFont="1"/>
    <xf numFmtId="0" fontId="78" fillId="0" borderId="24" xfId="0" applyFont="1" applyBorder="1" applyAlignment="1">
      <alignment horizontal="left"/>
    </xf>
    <xf numFmtId="167" fontId="44" fillId="10" borderId="36" xfId="0" applyNumberFormat="1" applyFont="1" applyFill="1" applyBorder="1" applyAlignment="1">
      <alignment horizontal="center"/>
    </xf>
    <xf numFmtId="167" fontId="44" fillId="10" borderId="39" xfId="0" applyNumberFormat="1" applyFont="1" applyFill="1" applyBorder="1" applyAlignment="1">
      <alignment horizontal="center"/>
    </xf>
    <xf numFmtId="164" fontId="83" fillId="10" borderId="33" xfId="0" applyNumberFormat="1" applyFont="1" applyFill="1" applyBorder="1" applyAlignment="1">
      <alignment horizontal="center" vertical="center"/>
    </xf>
    <xf numFmtId="0" fontId="14" fillId="0" borderId="0" xfId="0" applyFont="1" applyAlignment="1">
      <alignment horizontal="left" vertical="center"/>
    </xf>
    <xf numFmtId="0" fontId="39" fillId="0" borderId="21" xfId="0" applyFont="1" applyBorder="1" applyAlignment="1">
      <alignment horizontal="left"/>
    </xf>
    <xf numFmtId="0" fontId="39" fillId="0" borderId="22" xfId="0" applyFont="1" applyBorder="1" applyAlignment="1">
      <alignment horizontal="left"/>
    </xf>
    <xf numFmtId="0" fontId="39" fillId="0" borderId="1" xfId="0" applyFont="1" applyBorder="1" applyAlignment="1">
      <alignment horizontal="left"/>
    </xf>
    <xf numFmtId="0" fontId="39" fillId="0" borderId="2" xfId="0" applyFont="1" applyBorder="1" applyAlignment="1">
      <alignment horizontal="left"/>
    </xf>
    <xf numFmtId="0" fontId="39" fillId="0" borderId="18" xfId="0" applyFont="1" applyBorder="1" applyAlignment="1">
      <alignment horizontal="left"/>
    </xf>
    <xf numFmtId="0" fontId="35" fillId="0" borderId="19" xfId="0" applyFont="1" applyBorder="1" applyAlignment="1">
      <alignment horizontal="left"/>
    </xf>
    <xf numFmtId="0" fontId="35" fillId="0" borderId="7" xfId="0" applyFont="1" applyBorder="1" applyAlignment="1">
      <alignment horizontal="left"/>
    </xf>
    <xf numFmtId="0" fontId="35" fillId="0" borderId="8" xfId="0" applyFont="1" applyBorder="1" applyAlignment="1">
      <alignment horizontal="left"/>
    </xf>
    <xf numFmtId="0" fontId="35" fillId="0" borderId="6" xfId="0" applyFont="1" applyBorder="1" applyAlignment="1">
      <alignment horizontal="left"/>
    </xf>
    <xf numFmtId="0" fontId="35" fillId="0" borderId="23" xfId="0" applyFont="1" applyBorder="1" applyAlignment="1">
      <alignment horizontal="left"/>
    </xf>
    <xf numFmtId="0" fontId="39" fillId="0" borderId="16" xfId="0" applyFont="1" applyBorder="1" applyAlignment="1">
      <alignment horizontal="left"/>
    </xf>
    <xf numFmtId="0" fontId="39" fillId="0" borderId="17" xfId="0" applyFont="1" applyBorder="1" applyAlignment="1">
      <alignment horizontal="left"/>
    </xf>
    <xf numFmtId="0" fontId="39" fillId="0" borderId="4" xfId="0" applyFont="1" applyBorder="1" applyAlignment="1">
      <alignment horizontal="left"/>
    </xf>
    <xf numFmtId="0" fontId="39" fillId="0" borderId="0" xfId="0" applyFont="1" applyAlignment="1">
      <alignment horizontal="left"/>
    </xf>
    <xf numFmtId="0" fontId="35" fillId="0" borderId="4" xfId="0" applyFont="1" applyBorder="1" applyAlignment="1">
      <alignment horizontal="left"/>
    </xf>
    <xf numFmtId="0" fontId="35" fillId="0" borderId="0" xfId="0" applyFont="1" applyAlignment="1">
      <alignment horizontal="left"/>
    </xf>
    <xf numFmtId="0" fontId="35" fillId="0" borderId="4" xfId="0" applyFont="1" applyBorder="1"/>
    <xf numFmtId="0" fontId="35" fillId="0" borderId="20" xfId="0" applyFont="1" applyBorder="1"/>
    <xf numFmtId="1" fontId="38" fillId="0" borderId="24" xfId="0" quotePrefix="1" applyNumberFormat="1" applyFont="1" applyBorder="1" applyAlignment="1">
      <alignment horizontal="center" vertical="center"/>
    </xf>
    <xf numFmtId="1" fontId="38" fillId="0" borderId="20" xfId="0" quotePrefix="1" applyNumberFormat="1" applyFont="1" applyBorder="1" applyAlignment="1">
      <alignment horizontal="center" vertical="center"/>
    </xf>
    <xf numFmtId="1" fontId="38" fillId="0" borderId="24" xfId="0" applyNumberFormat="1" applyFont="1" applyBorder="1" applyAlignment="1">
      <alignment horizontal="center" vertical="center"/>
    </xf>
    <xf numFmtId="1" fontId="38" fillId="0" borderId="20" xfId="0" applyNumberFormat="1" applyFont="1" applyBorder="1" applyAlignment="1">
      <alignment horizontal="center" vertical="center"/>
    </xf>
    <xf numFmtId="1" fontId="38" fillId="0" borderId="38" xfId="0" quotePrefix="1" applyNumberFormat="1" applyFont="1" applyBorder="1" applyAlignment="1">
      <alignment horizontal="center" vertical="center"/>
    </xf>
    <xf numFmtId="1" fontId="38" fillId="0" borderId="29" xfId="0" quotePrefix="1" applyNumberFormat="1" applyFont="1" applyBorder="1" applyAlignment="1">
      <alignment horizontal="center" vertical="center"/>
    </xf>
    <xf numFmtId="1" fontId="38" fillId="0" borderId="34" xfId="0" applyNumberFormat="1" applyFont="1" applyBorder="1" applyAlignment="1">
      <alignment horizontal="center" vertical="center"/>
    </xf>
    <xf numFmtId="1" fontId="38" fillId="0" borderId="35" xfId="0" applyNumberFormat="1" applyFont="1" applyBorder="1" applyAlignment="1">
      <alignment horizontal="center" vertical="center"/>
    </xf>
    <xf numFmtId="49" fontId="38" fillId="0" borderId="30" xfId="0" applyNumberFormat="1" applyFont="1" applyBorder="1" applyAlignment="1">
      <alignment horizontal="center" vertical="center"/>
    </xf>
    <xf numFmtId="49" fontId="38" fillId="0" borderId="31" xfId="0" applyNumberFormat="1" applyFont="1" applyBorder="1" applyAlignment="1">
      <alignment horizontal="center" vertical="center"/>
    </xf>
    <xf numFmtId="0" fontId="38" fillId="4" borderId="24" xfId="0" applyFont="1" applyFill="1" applyBorder="1" applyAlignment="1">
      <alignment horizontal="center" vertical="center"/>
    </xf>
    <xf numFmtId="0" fontId="38" fillId="4" borderId="20" xfId="0" applyFont="1" applyFill="1" applyBorder="1" applyAlignment="1">
      <alignment horizontal="center" vertical="center"/>
    </xf>
    <xf numFmtId="0" fontId="38" fillId="4" borderId="38" xfId="0" applyFont="1" applyFill="1" applyBorder="1" applyAlignment="1">
      <alignment horizontal="center" vertical="center"/>
    </xf>
    <xf numFmtId="0" fontId="38" fillId="4" borderId="29" xfId="0" applyFont="1" applyFill="1" applyBorder="1" applyAlignment="1">
      <alignment horizontal="center" vertical="center"/>
    </xf>
    <xf numFmtId="0" fontId="38" fillId="0" borderId="30" xfId="0" applyFont="1" applyBorder="1" applyAlignment="1">
      <alignment horizontal="right" vertical="center"/>
    </xf>
    <xf numFmtId="0" fontId="38" fillId="0" borderId="32" xfId="0" applyFont="1" applyBorder="1" applyAlignment="1">
      <alignment horizontal="right" vertical="center"/>
    </xf>
    <xf numFmtId="0" fontId="38" fillId="0" borderId="31" xfId="0" applyFont="1" applyBorder="1" applyAlignment="1">
      <alignment horizontal="right" vertical="center"/>
    </xf>
    <xf numFmtId="49" fontId="38" fillId="0" borderId="30" xfId="0" applyNumberFormat="1" applyFont="1" applyBorder="1" applyAlignment="1">
      <alignment horizontal="center"/>
    </xf>
    <xf numFmtId="49" fontId="38" fillId="0" borderId="31" xfId="0" applyNumberFormat="1" applyFont="1" applyBorder="1" applyAlignment="1">
      <alignment horizontal="center"/>
    </xf>
    <xf numFmtId="0" fontId="35" fillId="6" borderId="30" xfId="0" applyFont="1" applyFill="1" applyBorder="1" applyAlignment="1">
      <alignment horizontal="center"/>
    </xf>
    <xf numFmtId="0" fontId="38" fillId="6" borderId="32" xfId="0" applyFont="1" applyFill="1" applyBorder="1" applyAlignment="1">
      <alignment horizontal="center"/>
    </xf>
    <xf numFmtId="0" fontId="38" fillId="6" borderId="31" xfId="0" applyFont="1" applyFill="1" applyBorder="1" applyAlignment="1">
      <alignment horizontal="center"/>
    </xf>
    <xf numFmtId="0" fontId="38" fillId="0" borderId="35" xfId="0" applyFont="1" applyBorder="1" applyAlignment="1">
      <alignment horizontal="center" vertical="center" wrapText="1"/>
    </xf>
    <xf numFmtId="0" fontId="38" fillId="0" borderId="29" xfId="0" applyFont="1" applyBorder="1" applyAlignment="1">
      <alignment horizontal="center" vertical="center" wrapText="1"/>
    </xf>
    <xf numFmtId="0" fontId="35" fillId="8" borderId="30" xfId="0" applyFont="1" applyFill="1" applyBorder="1" applyAlignment="1">
      <alignment horizontal="center"/>
    </xf>
    <xf numFmtId="0" fontId="35" fillId="8" borderId="31" xfId="0" applyFont="1" applyFill="1" applyBorder="1" applyAlignment="1">
      <alignment horizontal="center"/>
    </xf>
    <xf numFmtId="0" fontId="35" fillId="6" borderId="30" xfId="0" applyFont="1" applyFill="1" applyBorder="1" applyAlignment="1">
      <alignment horizontal="center" vertical="center"/>
    </xf>
    <xf numFmtId="0" fontId="35" fillId="6" borderId="32" xfId="0" applyFont="1" applyFill="1" applyBorder="1" applyAlignment="1">
      <alignment horizontal="center" vertical="center"/>
    </xf>
    <xf numFmtId="0" fontId="35" fillId="6" borderId="31" xfId="0" applyFont="1" applyFill="1" applyBorder="1" applyAlignment="1">
      <alignment horizontal="center" vertical="center"/>
    </xf>
    <xf numFmtId="0" fontId="35" fillId="0" borderId="25" xfId="0" applyFont="1" applyBorder="1" applyAlignment="1">
      <alignment horizontal="left"/>
    </xf>
    <xf numFmtId="0" fontId="35" fillId="0" borderId="26" xfId="0" applyFont="1" applyBorder="1" applyAlignment="1">
      <alignment horizontal="left"/>
    </xf>
    <xf numFmtId="0" fontId="35" fillId="0" borderId="27" xfId="0" applyFont="1" applyBorder="1" applyAlignment="1">
      <alignment horizontal="left"/>
    </xf>
    <xf numFmtId="0" fontId="35" fillId="0" borderId="28" xfId="0" applyFont="1" applyBorder="1" applyAlignment="1">
      <alignment horizontal="left"/>
    </xf>
    <xf numFmtId="0" fontId="35" fillId="0" borderId="29" xfId="0" applyFont="1" applyBorder="1" applyAlignment="1">
      <alignment horizontal="left"/>
    </xf>
    <xf numFmtId="0" fontId="38" fillId="0" borderId="37"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37" xfId="0" applyFont="1" applyBorder="1" applyAlignment="1">
      <alignment horizontal="center" vertical="center"/>
    </xf>
    <xf numFmtId="0" fontId="38" fillId="0" borderId="39" xfId="0" applyFont="1" applyBorder="1" applyAlignment="1">
      <alignment horizontal="center" vertical="center"/>
    </xf>
    <xf numFmtId="0" fontId="38" fillId="0" borderId="34" xfId="0" applyFont="1" applyBorder="1" applyAlignment="1">
      <alignment horizontal="center" vertical="center"/>
    </xf>
    <xf numFmtId="0" fontId="38" fillId="0" borderId="35" xfId="0" applyFont="1" applyBorder="1" applyAlignment="1">
      <alignment horizontal="center" vertical="center"/>
    </xf>
    <xf numFmtId="0" fontId="38" fillId="0" borderId="38" xfId="0" applyFont="1" applyBorder="1" applyAlignment="1">
      <alignment horizontal="center" vertical="center"/>
    </xf>
    <xf numFmtId="0" fontId="38" fillId="0" borderId="29" xfId="0" applyFont="1" applyBorder="1" applyAlignment="1">
      <alignment horizontal="center" vertical="center"/>
    </xf>
    <xf numFmtId="49" fontId="38" fillId="0" borderId="37" xfId="0" applyNumberFormat="1" applyFont="1" applyBorder="1" applyAlignment="1">
      <alignment horizontal="left" vertical="center"/>
    </xf>
    <xf numFmtId="49" fontId="38" fillId="0" borderId="39" xfId="0" applyNumberFormat="1" applyFont="1" applyBorder="1" applyAlignment="1">
      <alignment horizontal="left" vertical="center"/>
    </xf>
    <xf numFmtId="0" fontId="45" fillId="0" borderId="37" xfId="0" applyFont="1" applyBorder="1" applyAlignment="1">
      <alignment horizontal="center" wrapText="1"/>
    </xf>
    <xf numFmtId="0" fontId="45" fillId="0" borderId="39" xfId="0" applyFont="1" applyBorder="1" applyAlignment="1">
      <alignment horizontal="center" wrapText="1"/>
    </xf>
    <xf numFmtId="0" fontId="35" fillId="6" borderId="32" xfId="0" applyFont="1" applyFill="1" applyBorder="1" applyAlignment="1">
      <alignment horizontal="center"/>
    </xf>
    <xf numFmtId="0" fontId="35" fillId="6" borderId="31" xfId="0" applyFont="1" applyFill="1" applyBorder="1" applyAlignment="1">
      <alignment horizontal="center"/>
    </xf>
    <xf numFmtId="0" fontId="45" fillId="0" borderId="34" xfId="0" applyFont="1" applyBorder="1" applyAlignment="1">
      <alignment horizontal="center" vertical="center" wrapText="1"/>
    </xf>
    <xf numFmtId="0" fontId="45" fillId="0" borderId="35" xfId="0" applyFont="1" applyBorder="1" applyAlignment="1">
      <alignment horizontal="center" vertical="center" wrapText="1"/>
    </xf>
    <xf numFmtId="0" fontId="45" fillId="0" borderId="38"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37" xfId="0" applyFont="1" applyBorder="1" applyAlignment="1">
      <alignment horizontal="center" vertical="center"/>
    </xf>
    <xf numFmtId="0" fontId="45" fillId="0" borderId="39" xfId="0" applyFont="1" applyBorder="1" applyAlignment="1">
      <alignment horizontal="center" vertical="center"/>
    </xf>
    <xf numFmtId="0" fontId="38" fillId="0" borderId="36" xfId="0" applyFont="1" applyBorder="1" applyAlignment="1">
      <alignment horizontal="center" vertical="center"/>
    </xf>
    <xf numFmtId="0" fontId="85" fillId="0" borderId="24" xfId="0" applyFont="1" applyBorder="1" applyAlignment="1">
      <alignment horizontal="center" vertical="center" wrapText="1"/>
    </xf>
    <xf numFmtId="0" fontId="85" fillId="0" borderId="0" xfId="0" applyFont="1" applyAlignment="1">
      <alignment horizontal="center" vertical="center" wrapText="1"/>
    </xf>
    <xf numFmtId="172" fontId="40" fillId="0" borderId="0" xfId="0" applyNumberFormat="1" applyFont="1" applyAlignment="1">
      <alignment horizontal="center"/>
    </xf>
    <xf numFmtId="0" fontId="35" fillId="6" borderId="10" xfId="0" applyFont="1" applyFill="1" applyBorder="1" applyAlignment="1">
      <alignment horizontal="left" vertical="center"/>
    </xf>
    <xf numFmtId="0" fontId="35" fillId="6" borderId="11" xfId="0" applyFont="1" applyFill="1" applyBorder="1" applyAlignment="1">
      <alignment horizontal="left" vertical="center"/>
    </xf>
    <xf numFmtId="0" fontId="36" fillId="6" borderId="11" xfId="0" applyFont="1" applyFill="1" applyBorder="1" applyAlignment="1">
      <alignment horizontal="right" vertical="center"/>
    </xf>
    <xf numFmtId="0" fontId="36" fillId="6" borderId="41" xfId="0" applyFont="1" applyFill="1" applyBorder="1" applyAlignment="1">
      <alignment horizontal="right" vertical="center"/>
    </xf>
    <xf numFmtId="0" fontId="38" fillId="0" borderId="59" xfId="0" applyFont="1" applyBorder="1" applyAlignment="1">
      <alignment horizontal="left" vertical="center"/>
    </xf>
    <xf numFmtId="0" fontId="35" fillId="0" borderId="52" xfId="0" applyFont="1" applyBorder="1" applyAlignment="1">
      <alignment horizontal="left" vertical="center"/>
    </xf>
    <xf numFmtId="0" fontId="35" fillId="0" borderId="60" xfId="0" applyFont="1" applyBorder="1" applyAlignment="1">
      <alignment horizontal="left" vertical="center"/>
    </xf>
    <xf numFmtId="0" fontId="35" fillId="6" borderId="38" xfId="0" applyFont="1" applyFill="1" applyBorder="1" applyAlignment="1" applyProtection="1">
      <alignment horizontal="center"/>
      <protection hidden="1"/>
    </xf>
    <xf numFmtId="0" fontId="35" fillId="6" borderId="28" xfId="0" applyFont="1" applyFill="1" applyBorder="1" applyAlignment="1" applyProtection="1">
      <alignment horizontal="center"/>
      <protection hidden="1"/>
    </xf>
    <xf numFmtId="0" fontId="35" fillId="6" borderId="29" xfId="0" applyFont="1" applyFill="1" applyBorder="1" applyAlignment="1" applyProtection="1">
      <alignment horizontal="center"/>
      <protection hidden="1"/>
    </xf>
    <xf numFmtId="0" fontId="38" fillId="0" borderId="34" xfId="0" applyFont="1" applyBorder="1" applyAlignment="1">
      <alignment horizontal="center"/>
    </xf>
    <xf numFmtId="0" fontId="38" fillId="0" borderId="42" xfId="0" applyFont="1" applyBorder="1" applyAlignment="1">
      <alignment horizontal="center"/>
    </xf>
    <xf numFmtId="0" fontId="38" fillId="0" borderId="35" xfId="0" applyFont="1" applyBorder="1" applyAlignment="1">
      <alignment horizontal="center"/>
    </xf>
    <xf numFmtId="0" fontId="38" fillId="0" borderId="24" xfId="0" applyFont="1" applyBorder="1" applyAlignment="1">
      <alignment horizontal="center"/>
    </xf>
    <xf numFmtId="0" fontId="38" fillId="0" borderId="0" xfId="0" applyFont="1" applyAlignment="1">
      <alignment horizontal="center"/>
    </xf>
    <xf numFmtId="49" fontId="38" fillId="0" borderId="34" xfId="0" applyNumberFormat="1" applyFont="1" applyBorder="1" applyAlignment="1">
      <alignment horizontal="center" vertical="center"/>
    </xf>
    <xf numFmtId="49" fontId="38" fillId="0" borderId="35" xfId="0" applyNumberFormat="1" applyFont="1" applyBorder="1" applyAlignment="1">
      <alignment horizontal="center" vertical="center"/>
    </xf>
    <xf numFmtId="49" fontId="38" fillId="0" borderId="24" xfId="0" applyNumberFormat="1" applyFont="1" applyBorder="1" applyAlignment="1">
      <alignment horizontal="center" vertical="center"/>
    </xf>
    <xf numFmtId="49" fontId="38" fillId="0" borderId="20" xfId="0" applyNumberFormat="1" applyFont="1" applyBorder="1" applyAlignment="1">
      <alignment horizontal="center" vertical="center"/>
    </xf>
    <xf numFmtId="0" fontId="38" fillId="0" borderId="24" xfId="0" applyFont="1" applyBorder="1" applyAlignment="1">
      <alignment horizontal="center" vertical="center"/>
    </xf>
    <xf numFmtId="0" fontId="38" fillId="0" borderId="20" xfId="0" applyFont="1" applyBorder="1" applyAlignment="1">
      <alignment horizontal="center" vertical="center"/>
    </xf>
    <xf numFmtId="0" fontId="38" fillId="0" borderId="30" xfId="0" applyFont="1" applyBorder="1" applyAlignment="1">
      <alignment horizontal="center"/>
    </xf>
    <xf numFmtId="0" fontId="38" fillId="0" borderId="32" xfId="0" applyFont="1" applyBorder="1" applyAlignment="1">
      <alignment horizontal="center"/>
    </xf>
    <xf numFmtId="0" fontId="38" fillId="0" borderId="31" xfId="0" applyFont="1" applyBorder="1" applyAlignment="1">
      <alignment horizontal="center"/>
    </xf>
    <xf numFmtId="0" fontId="15" fillId="0" borderId="9" xfId="0" applyFont="1" applyBorder="1" applyAlignment="1">
      <alignment horizontal="left" vertical="top" wrapText="1"/>
    </xf>
    <xf numFmtId="0" fontId="15" fillId="0" borderId="15" xfId="0" applyFont="1" applyBorder="1" applyAlignment="1">
      <alignment horizontal="left" vertical="top" wrapText="1"/>
    </xf>
    <xf numFmtId="0" fontId="15" fillId="0" borderId="2" xfId="0" applyFont="1" applyBorder="1"/>
    <xf numFmtId="0" fontId="15" fillId="0" borderId="18" xfId="0" applyFont="1" applyBorder="1"/>
    <xf numFmtId="0" fontId="15" fillId="0" borderId="9" xfId="0" applyFont="1" applyBorder="1"/>
    <xf numFmtId="0" fontId="15" fillId="0" borderId="15" xfId="0" applyFont="1" applyBorder="1"/>
    <xf numFmtId="0" fontId="15" fillId="0" borderId="44" xfId="0" applyFont="1" applyBorder="1"/>
    <xf numFmtId="0" fontId="15" fillId="0" borderId="45" xfId="0" applyFont="1" applyBorder="1"/>
    <xf numFmtId="0" fontId="26" fillId="6" borderId="30" xfId="0" applyFont="1" applyFill="1" applyBorder="1" applyAlignment="1">
      <alignment horizontal="left" vertical="center"/>
    </xf>
    <xf numFmtId="0" fontId="26" fillId="6" borderId="32" xfId="0" applyFont="1" applyFill="1" applyBorder="1" applyAlignment="1">
      <alignment horizontal="left" vertical="center"/>
    </xf>
    <xf numFmtId="0" fontId="24" fillId="6" borderId="32" xfId="0" applyFont="1" applyFill="1" applyBorder="1" applyAlignment="1">
      <alignment horizontal="right" vertical="center"/>
    </xf>
    <xf numFmtId="0" fontId="24" fillId="6" borderId="31" xfId="0" applyFont="1" applyFill="1" applyBorder="1" applyAlignment="1">
      <alignment horizontal="right" vertical="center"/>
    </xf>
    <xf numFmtId="0" fontId="27" fillId="0" borderId="0" xfId="0" applyFont="1" applyAlignment="1">
      <alignment horizontal="left" vertical="center"/>
    </xf>
    <xf numFmtId="0" fontId="14" fillId="6" borderId="30" xfId="0" applyFont="1" applyFill="1" applyBorder="1" applyAlignment="1">
      <alignment horizontal="left" vertical="center"/>
    </xf>
    <xf numFmtId="0" fontId="14" fillId="6" borderId="32" xfId="0" applyFont="1" applyFill="1" applyBorder="1" applyAlignment="1">
      <alignment horizontal="left" vertical="center"/>
    </xf>
    <xf numFmtId="0" fontId="14" fillId="6" borderId="31" xfId="0" applyFont="1" applyFill="1" applyBorder="1" applyAlignment="1">
      <alignment horizontal="left" vertical="center"/>
    </xf>
    <xf numFmtId="0" fontId="15" fillId="0" borderId="0" xfId="0" applyFont="1" applyAlignment="1">
      <alignment wrapText="1"/>
    </xf>
    <xf numFmtId="0" fontId="15" fillId="0" borderId="20" xfId="0" applyFont="1" applyBorder="1" applyAlignment="1">
      <alignment wrapText="1"/>
    </xf>
    <xf numFmtId="0" fontId="75" fillId="0" borderId="0" xfId="0" applyFont="1" applyAlignment="1">
      <alignment horizontal="center"/>
    </xf>
    <xf numFmtId="0" fontId="13" fillId="7" borderId="30" xfId="0" applyFont="1" applyFill="1" applyBorder="1" applyAlignment="1">
      <alignment horizontal="left"/>
    </xf>
    <xf numFmtId="0" fontId="13" fillId="7" borderId="32" xfId="0" applyFont="1" applyFill="1" applyBorder="1" applyAlignment="1">
      <alignment horizontal="left"/>
    </xf>
    <xf numFmtId="0" fontId="13" fillId="7" borderId="31" xfId="0" applyFont="1" applyFill="1" applyBorder="1" applyAlignment="1">
      <alignment horizontal="left"/>
    </xf>
    <xf numFmtId="164" fontId="14" fillId="0" borderId="30" xfId="0" applyNumberFormat="1" applyFont="1" applyBorder="1" applyAlignment="1">
      <alignment horizontal="center" vertical="center"/>
    </xf>
    <xf numFmtId="164" fontId="14" fillId="0" borderId="32" xfId="0" applyNumberFormat="1" applyFont="1" applyBorder="1" applyAlignment="1">
      <alignment horizontal="center" vertical="center"/>
    </xf>
    <xf numFmtId="164" fontId="14" fillId="0" borderId="31" xfId="0" applyNumberFormat="1" applyFont="1" applyBorder="1" applyAlignment="1">
      <alignment horizontal="center" vertical="center"/>
    </xf>
    <xf numFmtId="164" fontId="14" fillId="8" borderId="34" xfId="0" applyNumberFormat="1" applyFont="1" applyFill="1" applyBorder="1" applyAlignment="1">
      <alignment horizontal="center" vertical="center"/>
    </xf>
    <xf numFmtId="164" fontId="14" fillId="8" borderId="42" xfId="0" applyNumberFormat="1" applyFont="1" applyFill="1" applyBorder="1" applyAlignment="1">
      <alignment horizontal="center" vertical="center"/>
    </xf>
    <xf numFmtId="164" fontId="14" fillId="8" borderId="35" xfId="0" applyNumberFormat="1" applyFont="1" applyFill="1" applyBorder="1" applyAlignment="1">
      <alignment horizontal="center" vertical="center"/>
    </xf>
    <xf numFmtId="0" fontId="13" fillId="6" borderId="30" xfId="0" applyFont="1" applyFill="1" applyBorder="1" applyAlignment="1">
      <alignment horizontal="left"/>
    </xf>
    <xf numFmtId="0" fontId="13" fillId="6" borderId="32" xfId="0" applyFont="1" applyFill="1" applyBorder="1" applyAlignment="1">
      <alignment horizontal="left"/>
    </xf>
    <xf numFmtId="0" fontId="13" fillId="6" borderId="31" xfId="0" applyFont="1" applyFill="1" applyBorder="1" applyAlignment="1">
      <alignment horizontal="left"/>
    </xf>
    <xf numFmtId="0" fontId="14" fillId="7" borderId="30" xfId="0" applyFont="1" applyFill="1" applyBorder="1" applyAlignment="1">
      <alignment horizontal="left"/>
    </xf>
    <xf numFmtId="0" fontId="14" fillId="7" borderId="32" xfId="0" applyFont="1" applyFill="1" applyBorder="1" applyAlignment="1">
      <alignment horizontal="left"/>
    </xf>
    <xf numFmtId="0" fontId="14" fillId="7" borderId="31" xfId="0" applyFont="1" applyFill="1" applyBorder="1" applyAlignment="1">
      <alignment horizontal="left"/>
    </xf>
    <xf numFmtId="0" fontId="14" fillId="7" borderId="30" xfId="0" applyFont="1" applyFill="1" applyBorder="1" applyAlignment="1">
      <alignment horizontal="left" vertical="center"/>
    </xf>
    <xf numFmtId="0" fontId="14" fillId="7" borderId="32" xfId="0" applyFont="1" applyFill="1" applyBorder="1" applyAlignment="1">
      <alignment horizontal="left" vertical="center"/>
    </xf>
    <xf numFmtId="0" fontId="14" fillId="7" borderId="31" xfId="0" applyFont="1" applyFill="1" applyBorder="1" applyAlignment="1">
      <alignment horizontal="left" vertical="center"/>
    </xf>
    <xf numFmtId="0" fontId="17" fillId="0" borderId="0" xfId="0" applyFont="1" applyAlignment="1">
      <alignment horizontal="left" vertical="center"/>
    </xf>
    <xf numFmtId="0" fontId="14" fillId="0" borderId="0" xfId="0" applyFont="1" applyAlignment="1">
      <alignment horizontal="left" vertical="center"/>
    </xf>
    <xf numFmtId="0" fontId="27" fillId="0" borderId="42" xfId="0" applyFont="1" applyBorder="1" applyAlignment="1">
      <alignment horizontal="left" vertical="center"/>
    </xf>
    <xf numFmtId="49" fontId="14" fillId="6" borderId="30" xfId="0" applyNumberFormat="1" applyFont="1" applyFill="1" applyBorder="1" applyAlignment="1">
      <alignment horizontal="left" vertical="center"/>
    </xf>
    <xf numFmtId="49" fontId="14" fillId="6" borderId="32" xfId="0" applyNumberFormat="1" applyFont="1" applyFill="1" applyBorder="1" applyAlignment="1">
      <alignment horizontal="left" vertical="center"/>
    </xf>
    <xf numFmtId="49" fontId="14" fillId="6" borderId="31" xfId="0" applyNumberFormat="1" applyFont="1" applyFill="1" applyBorder="1" applyAlignment="1">
      <alignment horizontal="left" vertical="center"/>
    </xf>
    <xf numFmtId="0" fontId="74" fillId="0" borderId="0" xfId="0" applyFont="1" applyAlignment="1">
      <alignment horizontal="center" vertical="center"/>
    </xf>
    <xf numFmtId="49" fontId="14" fillId="7" borderId="30" xfId="0" applyNumberFormat="1" applyFont="1" applyFill="1" applyBorder="1" applyAlignment="1">
      <alignment horizontal="left" vertical="center"/>
    </xf>
    <xf numFmtId="49" fontId="14" fillId="7" borderId="32" xfId="0" applyNumberFormat="1" applyFont="1" applyFill="1" applyBorder="1" applyAlignment="1">
      <alignment horizontal="left" vertical="center"/>
    </xf>
    <xf numFmtId="49" fontId="14" fillId="7" borderId="31" xfId="0" applyNumberFormat="1" applyFont="1" applyFill="1" applyBorder="1" applyAlignment="1">
      <alignment horizontal="left" vertical="center"/>
    </xf>
    <xf numFmtId="49" fontId="13" fillId="7" borderId="30" xfId="0" applyNumberFormat="1" applyFont="1" applyFill="1" applyBorder="1" applyAlignment="1">
      <alignment horizontal="left" vertical="center"/>
    </xf>
    <xf numFmtId="49" fontId="13" fillId="7" borderId="32" xfId="0" applyNumberFormat="1" applyFont="1" applyFill="1" applyBorder="1" applyAlignment="1">
      <alignment horizontal="left" vertical="center"/>
    </xf>
    <xf numFmtId="49" fontId="13" fillId="7" borderId="31" xfId="0" applyNumberFormat="1" applyFont="1" applyFill="1" applyBorder="1" applyAlignment="1">
      <alignment horizontal="left" vertical="center"/>
    </xf>
    <xf numFmtId="0" fontId="13" fillId="6" borderId="30" xfId="0" applyFont="1" applyFill="1" applyBorder="1" applyAlignment="1">
      <alignment horizontal="center"/>
    </xf>
    <xf numFmtId="0" fontId="13" fillId="6" borderId="32" xfId="0" applyFont="1" applyFill="1" applyBorder="1" applyAlignment="1">
      <alignment horizontal="center"/>
    </xf>
    <xf numFmtId="0" fontId="13" fillId="6" borderId="31" xfId="0" applyFont="1" applyFill="1" applyBorder="1" applyAlignment="1">
      <alignment horizontal="center"/>
    </xf>
    <xf numFmtId="0" fontId="0" fillId="8" borderId="34" xfId="0" applyFill="1" applyBorder="1" applyAlignment="1" applyProtection="1">
      <alignment horizontal="left" vertical="top" wrapText="1"/>
      <protection locked="0"/>
    </xf>
    <xf numFmtId="0" fontId="0" fillId="8" borderId="42" xfId="0" applyFill="1" applyBorder="1" applyAlignment="1" applyProtection="1">
      <alignment horizontal="left" vertical="top" wrapText="1"/>
      <protection locked="0"/>
    </xf>
    <xf numFmtId="0" fontId="0" fillId="8" borderId="35" xfId="0" applyFill="1" applyBorder="1" applyAlignment="1" applyProtection="1">
      <alignment horizontal="left" vertical="top" wrapText="1"/>
      <protection locked="0"/>
    </xf>
    <xf numFmtId="0" fontId="0" fillId="8" borderId="24" xfId="0" applyFill="1" applyBorder="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0" fillId="8" borderId="20" xfId="0" applyFill="1" applyBorder="1" applyAlignment="1" applyProtection="1">
      <alignment horizontal="left" vertical="top" wrapText="1"/>
      <protection locked="0"/>
    </xf>
    <xf numFmtId="0" fontId="0" fillId="8" borderId="38" xfId="0" applyFill="1" applyBorder="1" applyAlignment="1" applyProtection="1">
      <alignment horizontal="left" vertical="top" wrapText="1"/>
      <protection locked="0"/>
    </xf>
    <xf numFmtId="0" fontId="0" fillId="8" borderId="28" xfId="0" applyFill="1" applyBorder="1" applyAlignment="1" applyProtection="1">
      <alignment horizontal="left" vertical="top" wrapText="1"/>
      <protection locked="0"/>
    </xf>
    <xf numFmtId="0" fontId="0" fillId="8" borderId="29" xfId="0" applyFill="1" applyBorder="1" applyAlignment="1" applyProtection="1">
      <alignment horizontal="left" vertical="top" wrapText="1"/>
      <protection locked="0"/>
    </xf>
    <xf numFmtId="0" fontId="66" fillId="0" borderId="24" xfId="0" applyFont="1" applyBorder="1" applyAlignment="1">
      <alignment horizontal="right"/>
    </xf>
    <xf numFmtId="0" fontId="27" fillId="0" borderId="0" xfId="0" applyFont="1" applyAlignment="1">
      <alignment horizontal="center"/>
    </xf>
    <xf numFmtId="0" fontId="27" fillId="0" borderId="7" xfId="0" applyFont="1" applyBorder="1" applyAlignment="1">
      <alignment horizontal="center"/>
    </xf>
    <xf numFmtId="0" fontId="31" fillId="0" borderId="2" xfId="0" applyFont="1" applyBorder="1" applyAlignment="1">
      <alignment horizontal="left" vertical="center" wrapText="1"/>
    </xf>
    <xf numFmtId="0" fontId="31" fillId="0" borderId="0" xfId="0" applyFont="1" applyAlignment="1">
      <alignment horizontal="left" vertical="center" wrapText="1"/>
    </xf>
    <xf numFmtId="0" fontId="27" fillId="0" borderId="18" xfId="0" applyFont="1" applyBorder="1" applyAlignment="1">
      <alignment horizontal="center" vertical="top"/>
    </xf>
    <xf numFmtId="0" fontId="27" fillId="0" borderId="20" xfId="0" applyFont="1" applyBorder="1" applyAlignment="1">
      <alignment horizontal="center" vertical="top"/>
    </xf>
    <xf numFmtId="0" fontId="79" fillId="0" borderId="28" xfId="0" applyFont="1" applyBorder="1" applyAlignment="1">
      <alignment horizontal="right"/>
    </xf>
    <xf numFmtId="0" fontId="79" fillId="0" borderId="29" xfId="0" applyFont="1" applyBorder="1" applyAlignment="1">
      <alignment horizontal="right"/>
    </xf>
    <xf numFmtId="0" fontId="32" fillId="0" borderId="38" xfId="0" applyFont="1" applyBorder="1" applyAlignment="1">
      <alignment horizontal="center"/>
    </xf>
    <xf numFmtId="0" fontId="31" fillId="0" borderId="29" xfId="0" applyFont="1" applyBorder="1" applyAlignment="1">
      <alignment horizontal="center"/>
    </xf>
    <xf numFmtId="0" fontId="0" fillId="0" borderId="60" xfId="0" applyBorder="1" applyAlignment="1">
      <alignment horizontal="center" vertical="center"/>
    </xf>
    <xf numFmtId="0" fontId="0" fillId="0" borderId="62" xfId="0"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13" fillId="0" borderId="30" xfId="0" applyFont="1" applyBorder="1" applyAlignment="1">
      <alignment horizontal="center"/>
    </xf>
    <xf numFmtId="0" fontId="13" fillId="0" borderId="31" xfId="0" applyFont="1"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164" fontId="24" fillId="0" borderId="38" xfId="0" applyNumberFormat="1" applyFont="1" applyBorder="1" applyAlignment="1">
      <alignment horizontal="center" vertical="center"/>
    </xf>
    <xf numFmtId="164" fontId="24" fillId="0" borderId="29" xfId="0" applyNumberFormat="1" applyFont="1" applyBorder="1" applyAlignment="1">
      <alignment horizontal="center" vertical="center"/>
    </xf>
    <xf numFmtId="0" fontId="29" fillId="6" borderId="30" xfId="0" applyFont="1" applyFill="1" applyBorder="1" applyAlignment="1">
      <alignment horizontal="left" vertical="center"/>
    </xf>
    <xf numFmtId="0" fontId="29" fillId="6" borderId="32" xfId="0" applyFont="1" applyFill="1" applyBorder="1" applyAlignment="1">
      <alignment horizontal="left" vertical="center"/>
    </xf>
    <xf numFmtId="0" fontId="29" fillId="6" borderId="31" xfId="0" applyFont="1" applyFill="1" applyBorder="1" applyAlignment="1">
      <alignment horizontal="left" vertical="center"/>
    </xf>
    <xf numFmtId="0" fontId="27" fillId="0" borderId="40"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44" xfId="0" applyFont="1" applyBorder="1" applyAlignment="1">
      <alignment horizontal="center" vertical="center" wrapText="1"/>
    </xf>
    <xf numFmtId="164" fontId="27" fillId="0" borderId="40" xfId="0" applyNumberFormat="1" applyFont="1" applyBorder="1" applyAlignment="1">
      <alignment horizontal="center" vertical="center" wrapText="1"/>
    </xf>
    <xf numFmtId="164" fontId="27" fillId="0" borderId="43" xfId="0" applyNumberFormat="1" applyFont="1" applyBorder="1" applyAlignment="1">
      <alignment horizontal="center" vertical="center" wrapText="1"/>
    </xf>
    <xf numFmtId="0" fontId="32" fillId="0" borderId="40" xfId="0" applyFont="1" applyBorder="1" applyAlignment="1">
      <alignment horizontal="center" vertical="center"/>
    </xf>
    <xf numFmtId="0" fontId="32" fillId="0" borderId="77" xfId="0" applyFont="1" applyBorder="1" applyAlignment="1">
      <alignment horizontal="center" vertical="center"/>
    </xf>
    <xf numFmtId="0" fontId="24" fillId="6" borderId="30" xfId="0" applyFont="1" applyFill="1" applyBorder="1" applyAlignment="1">
      <alignment horizontal="center" vertical="center"/>
    </xf>
    <xf numFmtId="0" fontId="27" fillId="6" borderId="32" xfId="0" applyFont="1" applyFill="1" applyBorder="1" applyAlignment="1">
      <alignment horizontal="center" vertical="center"/>
    </xf>
    <xf numFmtId="0" fontId="27" fillId="6" borderId="31" xfId="0" applyFont="1" applyFill="1" applyBorder="1" applyAlignment="1">
      <alignment horizontal="center" vertical="center"/>
    </xf>
    <xf numFmtId="0" fontId="27" fillId="0" borderId="7" xfId="0" applyFont="1" applyBorder="1" applyAlignment="1">
      <alignment horizontal="center" vertical="center"/>
    </xf>
    <xf numFmtId="0" fontId="27" fillId="0" borderId="9" xfId="0" applyFont="1" applyBorder="1" applyAlignment="1">
      <alignment horizontal="center" vertical="center"/>
    </xf>
    <xf numFmtId="0" fontId="0" fillId="0" borderId="50" xfId="0" applyBorder="1" applyAlignment="1">
      <alignment horizontal="center" vertical="center"/>
    </xf>
    <xf numFmtId="0" fontId="0" fillId="0" borderId="43" xfId="0" applyBorder="1" applyAlignment="1">
      <alignment horizontal="center" vertical="center"/>
    </xf>
    <xf numFmtId="0" fontId="13" fillId="6" borderId="34" xfId="0" applyFont="1" applyFill="1" applyBorder="1" applyAlignment="1">
      <alignment horizontal="center" vertical="center"/>
    </xf>
    <xf numFmtId="0" fontId="13" fillId="6" borderId="42" xfId="0" applyFont="1" applyFill="1" applyBorder="1" applyAlignment="1">
      <alignment horizontal="center" vertical="center"/>
    </xf>
    <xf numFmtId="0" fontId="13" fillId="6" borderId="35" xfId="0" applyFont="1" applyFill="1" applyBorder="1" applyAlignment="1">
      <alignment horizontal="center" vertical="center"/>
    </xf>
    <xf numFmtId="0" fontId="0" fillId="0" borderId="52" xfId="0" applyBorder="1" applyAlignment="1">
      <alignment horizontal="center" vertical="center" wrapText="1"/>
    </xf>
    <xf numFmtId="0" fontId="0" fillId="0" borderId="56" xfId="0" applyBorder="1" applyAlignment="1">
      <alignment horizontal="center" vertical="center" wrapText="1"/>
    </xf>
    <xf numFmtId="0" fontId="13" fillId="0" borderId="37" xfId="0" applyFont="1" applyBorder="1" applyAlignment="1">
      <alignment horizontal="center" vertical="center"/>
    </xf>
    <xf numFmtId="0" fontId="13" fillId="0" borderId="39" xfId="0" applyFont="1" applyBorder="1" applyAlignment="1">
      <alignment horizontal="center" vertical="center"/>
    </xf>
    <xf numFmtId="0" fontId="24" fillId="6" borderId="32" xfId="0" applyFont="1" applyFill="1" applyBorder="1" applyAlignment="1">
      <alignment horizontal="center" vertical="center"/>
    </xf>
    <xf numFmtId="0" fontId="24" fillId="6" borderId="31" xfId="0" applyFont="1" applyFill="1" applyBorder="1" applyAlignment="1">
      <alignment horizontal="center" vertical="center"/>
    </xf>
    <xf numFmtId="0" fontId="24" fillId="0" borderId="4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10" xfId="0" applyFont="1" applyBorder="1" applyAlignment="1">
      <alignment horizontal="center" vertical="center"/>
    </xf>
    <xf numFmtId="0" fontId="24" fillId="0" borderId="54" xfId="0" applyFont="1" applyBorder="1" applyAlignment="1">
      <alignment horizontal="center" vertical="center"/>
    </xf>
    <xf numFmtId="0" fontId="24" fillId="6" borderId="34" xfId="0" applyFont="1" applyFill="1" applyBorder="1" applyAlignment="1">
      <alignment horizontal="center"/>
    </xf>
    <xf numFmtId="0" fontId="24" fillId="6" borderId="42" xfId="0" applyFont="1" applyFill="1" applyBorder="1" applyAlignment="1">
      <alignment horizontal="center"/>
    </xf>
    <xf numFmtId="0" fontId="24" fillId="6" borderId="35" xfId="0" applyFont="1" applyFill="1" applyBorder="1" applyAlignment="1">
      <alignment horizont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39" xfId="0" applyBorder="1" applyAlignment="1">
      <alignment horizontal="center" vertical="center"/>
    </xf>
    <xf numFmtId="0" fontId="31" fillId="0" borderId="37"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39" xfId="0" applyFont="1" applyBorder="1" applyAlignment="1">
      <alignment horizontal="center" vertical="center" wrapText="1"/>
    </xf>
    <xf numFmtId="0" fontId="0" fillId="0" borderId="37" xfId="0" applyBorder="1" applyAlignment="1">
      <alignment horizontal="center" vertical="center" wrapText="1"/>
    </xf>
    <xf numFmtId="0" fontId="0" fillId="0" borderId="36" xfId="0" applyBorder="1" applyAlignment="1">
      <alignment horizontal="center" vertical="center" wrapText="1"/>
    </xf>
    <xf numFmtId="0" fontId="0" fillId="0" borderId="39" xfId="0" applyBorder="1" applyAlignment="1">
      <alignment horizontal="center" vertical="center" wrapText="1"/>
    </xf>
    <xf numFmtId="0" fontId="0" fillId="0" borderId="73" xfId="0" applyBorder="1" applyAlignment="1">
      <alignment horizontal="center" vertical="center" wrapText="1"/>
    </xf>
    <xf numFmtId="0" fontId="0" fillId="0" borderId="50" xfId="0" applyBorder="1" applyAlignment="1">
      <alignment horizontal="center" vertical="center" wrapText="1"/>
    </xf>
    <xf numFmtId="0" fontId="0" fillId="0" borderId="77" xfId="0" applyBorder="1" applyAlignment="1">
      <alignment horizontal="center" vertical="center" wrapText="1"/>
    </xf>
    <xf numFmtId="0" fontId="0" fillId="0" borderId="73" xfId="0" applyBorder="1" applyAlignment="1">
      <alignment horizontal="center" vertical="center"/>
    </xf>
    <xf numFmtId="164" fontId="24" fillId="0" borderId="30" xfId="0" applyNumberFormat="1" applyFont="1" applyBorder="1" applyAlignment="1">
      <alignment horizontal="center" vertical="center"/>
    </xf>
    <xf numFmtId="164" fontId="24" fillId="0" borderId="31" xfId="0" applyNumberFormat="1" applyFont="1" applyBorder="1" applyAlignment="1">
      <alignment horizontal="center" vertical="center"/>
    </xf>
    <xf numFmtId="0" fontId="27" fillId="0" borderId="32" xfId="0" applyFont="1" applyBorder="1" applyAlignment="1">
      <alignment horizontal="center" vertical="center"/>
    </xf>
    <xf numFmtId="0" fontId="27" fillId="0" borderId="31" xfId="0" applyFont="1" applyBorder="1" applyAlignment="1">
      <alignment horizontal="center" vertical="center"/>
    </xf>
    <xf numFmtId="0" fontId="0" fillId="0" borderId="59" xfId="0" applyBorder="1" applyAlignment="1">
      <alignment horizontal="center" vertical="center"/>
    </xf>
    <xf numFmtId="0" fontId="0" fillId="0" borderId="61" xfId="0" applyBorder="1" applyAlignment="1">
      <alignment horizontal="center" vertical="center"/>
    </xf>
    <xf numFmtId="0" fontId="27" fillId="0" borderId="66" xfId="0" applyFont="1" applyBorder="1" applyAlignment="1">
      <alignment horizontal="left"/>
    </xf>
    <xf numFmtId="0" fontId="27" fillId="0" borderId="2" xfId="0" applyFont="1" applyBorder="1" applyAlignment="1">
      <alignment horizontal="left"/>
    </xf>
    <xf numFmtId="0" fontId="26" fillId="8" borderId="19" xfId="0" applyFont="1" applyFill="1" applyBorder="1" applyAlignment="1" applyProtection="1">
      <alignment horizontal="left"/>
      <protection locked="0"/>
    </xf>
    <xf numFmtId="0" fontId="26" fillId="8" borderId="7" xfId="0" applyFont="1" applyFill="1" applyBorder="1" applyAlignment="1" applyProtection="1">
      <alignment horizontal="left"/>
      <protection locked="0"/>
    </xf>
    <xf numFmtId="0" fontId="26" fillId="8" borderId="8" xfId="0" applyFont="1" applyFill="1" applyBorder="1" applyAlignment="1" applyProtection="1">
      <alignment horizontal="left"/>
      <protection locked="0"/>
    </xf>
    <xf numFmtId="0" fontId="27" fillId="0" borderId="1" xfId="0" applyFont="1" applyBorder="1" applyAlignment="1">
      <alignment horizontal="left"/>
    </xf>
    <xf numFmtId="0" fontId="27" fillId="0" borderId="3" xfId="0" applyFont="1" applyBorder="1" applyAlignment="1">
      <alignment horizontal="left"/>
    </xf>
    <xf numFmtId="0" fontId="29" fillId="8" borderId="38" xfId="0" applyFont="1" applyFill="1" applyBorder="1" applyProtection="1">
      <protection locked="0"/>
    </xf>
    <xf numFmtId="0" fontId="72" fillId="8" borderId="28" xfId="0" applyFont="1" applyFill="1" applyBorder="1" applyProtection="1">
      <protection locked="0"/>
    </xf>
    <xf numFmtId="0" fontId="26" fillId="8" borderId="27" xfId="0" applyFont="1" applyFill="1" applyBorder="1" applyAlignment="1" applyProtection="1">
      <alignment horizontal="left"/>
      <protection locked="0"/>
    </xf>
    <xf numFmtId="0" fontId="26" fillId="8" borderId="67" xfId="0" applyFont="1" applyFill="1" applyBorder="1" applyAlignment="1" applyProtection="1">
      <alignment horizontal="left"/>
      <protection locked="0"/>
    </xf>
    <xf numFmtId="0" fontId="26" fillId="6" borderId="31" xfId="0" applyFont="1" applyFill="1" applyBorder="1" applyAlignment="1">
      <alignment horizontal="left" vertical="center"/>
    </xf>
    <xf numFmtId="0" fontId="24" fillId="9" borderId="34" xfId="0" applyFont="1" applyFill="1" applyBorder="1" applyAlignment="1">
      <alignment horizontal="left" vertical="center" wrapText="1"/>
    </xf>
    <xf numFmtId="0" fontId="24" fillId="9" borderId="42" xfId="0" applyFont="1" applyFill="1" applyBorder="1" applyAlignment="1">
      <alignment horizontal="left" vertical="center" wrapText="1"/>
    </xf>
    <xf numFmtId="0" fontId="24" fillId="9" borderId="35" xfId="0" applyFont="1" applyFill="1" applyBorder="1" applyAlignment="1">
      <alignment horizontal="left" vertical="center" wrapText="1"/>
    </xf>
    <xf numFmtId="0" fontId="24" fillId="9" borderId="24" xfId="0" applyFont="1" applyFill="1" applyBorder="1" applyAlignment="1">
      <alignment horizontal="left" vertical="center" wrapText="1"/>
    </xf>
    <xf numFmtId="0" fontId="24" fillId="9" borderId="0" xfId="0" applyFont="1" applyFill="1" applyAlignment="1">
      <alignment horizontal="left" vertical="center" wrapText="1"/>
    </xf>
    <xf numFmtId="0" fontId="24" fillId="9" borderId="20" xfId="0" applyFont="1" applyFill="1" applyBorder="1" applyAlignment="1">
      <alignment horizontal="left" vertical="center" wrapText="1"/>
    </xf>
    <xf numFmtId="0" fontId="24" fillId="9" borderId="19" xfId="0" applyFont="1" applyFill="1" applyBorder="1" applyAlignment="1">
      <alignment horizontal="left" vertical="center" wrapText="1"/>
    </xf>
    <xf numFmtId="0" fontId="24" fillId="9" borderId="7" xfId="0" applyFont="1" applyFill="1" applyBorder="1" applyAlignment="1">
      <alignment horizontal="left" vertical="center" wrapText="1"/>
    </xf>
    <xf numFmtId="0" fontId="24" fillId="9" borderId="23" xfId="0" applyFont="1" applyFill="1" applyBorder="1" applyAlignment="1">
      <alignment horizontal="left" vertical="center" wrapText="1"/>
    </xf>
    <xf numFmtId="171" fontId="26" fillId="8" borderId="59" xfId="0" applyNumberFormat="1" applyFont="1" applyFill="1" applyBorder="1" applyAlignment="1" applyProtection="1">
      <alignment horizontal="left"/>
      <protection locked="0"/>
    </xf>
    <xf numFmtId="171" fontId="26" fillId="8" borderId="52" xfId="0" applyNumberFormat="1" applyFont="1" applyFill="1" applyBorder="1" applyAlignment="1" applyProtection="1">
      <alignment horizontal="left"/>
      <protection locked="0"/>
    </xf>
    <xf numFmtId="0" fontId="26" fillId="8" borderId="52" xfId="0" applyFont="1" applyFill="1" applyBorder="1" applyAlignment="1" applyProtection="1">
      <alignment horizontal="left"/>
      <protection locked="0"/>
    </xf>
    <xf numFmtId="0" fontId="26" fillId="8" borderId="60" xfId="0" applyFont="1" applyFill="1" applyBorder="1" applyAlignment="1" applyProtection="1">
      <alignment horizontal="left"/>
      <protection locked="0"/>
    </xf>
    <xf numFmtId="0" fontId="27" fillId="0" borderId="59" xfId="0" applyFont="1" applyBorder="1" applyAlignment="1">
      <alignment horizontal="left"/>
    </xf>
    <xf numFmtId="0" fontId="27" fillId="0" borderId="52" xfId="0" applyFont="1" applyBorder="1" applyAlignment="1">
      <alignment horizontal="left"/>
    </xf>
    <xf numFmtId="0" fontId="27" fillId="0" borderId="60" xfId="0" applyFont="1" applyBorder="1" applyAlignment="1">
      <alignment horizontal="left"/>
    </xf>
    <xf numFmtId="0" fontId="27" fillId="0" borderId="18" xfId="0" applyFont="1" applyBorder="1" applyAlignment="1">
      <alignment horizontal="left"/>
    </xf>
    <xf numFmtId="0" fontId="26" fillId="8" borderId="6" xfId="0" applyFont="1" applyFill="1" applyBorder="1" applyAlignment="1" applyProtection="1">
      <alignment horizontal="left"/>
      <protection locked="0"/>
    </xf>
    <xf numFmtId="0" fontId="26" fillId="8" borderId="23" xfId="0" applyFont="1" applyFill="1" applyBorder="1" applyAlignment="1" applyProtection="1">
      <alignment horizontal="left"/>
      <protection locked="0"/>
    </xf>
    <xf numFmtId="0" fontId="27" fillId="0" borderId="21" xfId="0" applyFont="1" applyBorder="1" applyAlignment="1">
      <alignment horizontal="left"/>
    </xf>
    <xf numFmtId="0" fontId="27" fillId="0" borderId="22" xfId="0" applyFont="1" applyBorder="1" applyAlignment="1">
      <alignment horizontal="left"/>
    </xf>
    <xf numFmtId="171" fontId="26" fillId="8" borderId="59" xfId="0" applyNumberFormat="1" applyFont="1" applyFill="1" applyBorder="1" applyAlignment="1" applyProtection="1">
      <alignment horizontal="center"/>
      <protection locked="0"/>
    </xf>
    <xf numFmtId="171" fontId="26" fillId="8" borderId="52" xfId="0" applyNumberFormat="1" applyFont="1" applyFill="1" applyBorder="1" applyAlignment="1" applyProtection="1">
      <alignment horizontal="center"/>
      <protection locked="0"/>
    </xf>
    <xf numFmtId="0" fontId="26" fillId="8" borderId="52" xfId="0" applyFont="1" applyFill="1" applyBorder="1" applyAlignment="1" applyProtection="1">
      <alignment horizontal="center"/>
      <protection locked="0"/>
    </xf>
    <xf numFmtId="0" fontId="26" fillId="8" borderId="60" xfId="0" applyFont="1" applyFill="1" applyBorder="1" applyAlignment="1" applyProtection="1">
      <alignment horizontal="center"/>
      <protection locked="0"/>
    </xf>
    <xf numFmtId="0" fontId="27" fillId="0" borderId="30" xfId="0" applyFont="1" applyBorder="1" applyAlignment="1" applyProtection="1">
      <alignment horizontal="left" vertical="center"/>
      <protection hidden="1"/>
    </xf>
    <xf numFmtId="0" fontId="27" fillId="0" borderId="32" xfId="0" applyFont="1" applyBorder="1" applyAlignment="1" applyProtection="1">
      <alignment horizontal="left" vertical="center"/>
      <protection hidden="1"/>
    </xf>
    <xf numFmtId="0" fontId="27" fillId="0" borderId="31" xfId="0" applyFont="1" applyBorder="1" applyAlignment="1" applyProtection="1">
      <alignment horizontal="left" vertical="center"/>
      <protection hidden="1"/>
    </xf>
    <xf numFmtId="0" fontId="27" fillId="0" borderId="65" xfId="0" applyFont="1" applyBorder="1" applyAlignment="1">
      <alignment horizontal="left"/>
    </xf>
    <xf numFmtId="0" fontId="26" fillId="8" borderId="25" xfId="0" applyFont="1" applyFill="1" applyBorder="1" applyAlignment="1" applyProtection="1">
      <alignment horizontal="left"/>
      <protection locked="0"/>
    </xf>
    <xf numFmtId="0" fontId="26" fillId="8" borderId="26" xfId="0" applyFont="1" applyFill="1" applyBorder="1" applyAlignment="1" applyProtection="1">
      <alignment horizontal="left"/>
      <protection locked="0"/>
    </xf>
    <xf numFmtId="0" fontId="26" fillId="8" borderId="63" xfId="0" applyFont="1" applyFill="1" applyBorder="1" applyAlignment="1" applyProtection="1">
      <alignment horizontal="left"/>
      <protection locked="0"/>
    </xf>
    <xf numFmtId="0" fontId="27" fillId="0" borderId="4" xfId="0" applyFont="1" applyBorder="1" applyAlignment="1">
      <alignment horizontal="left"/>
    </xf>
    <xf numFmtId="0" fontId="27" fillId="0" borderId="0" xfId="0" applyFont="1" applyAlignment="1">
      <alignment horizontal="left"/>
    </xf>
    <xf numFmtId="0" fontId="27" fillId="0" borderId="5" xfId="0" applyFont="1" applyBorder="1" applyAlignment="1">
      <alignment horizontal="left"/>
    </xf>
    <xf numFmtId="14" fontId="26" fillId="8" borderId="6" xfId="0" applyNumberFormat="1" applyFont="1" applyFill="1" applyBorder="1" applyAlignment="1" applyProtection="1">
      <alignment horizontal="center"/>
      <protection locked="0"/>
    </xf>
    <xf numFmtId="14" fontId="26" fillId="8" borderId="23" xfId="0" applyNumberFormat="1" applyFont="1" applyFill="1" applyBorder="1" applyAlignment="1" applyProtection="1">
      <alignment horizontal="center"/>
      <protection locked="0"/>
    </xf>
    <xf numFmtId="175" fontId="26" fillId="8" borderId="6" xfId="0" applyNumberFormat="1" applyFont="1" applyFill="1" applyBorder="1" applyAlignment="1" applyProtection="1">
      <alignment horizontal="left"/>
      <protection locked="0"/>
    </xf>
    <xf numFmtId="175" fontId="26" fillId="8" borderId="23" xfId="0" applyNumberFormat="1" applyFont="1" applyFill="1" applyBorder="1" applyAlignment="1" applyProtection="1">
      <alignment horizontal="left"/>
      <protection locked="0"/>
    </xf>
    <xf numFmtId="0" fontId="26" fillId="8" borderId="68" xfId="0" applyFont="1" applyFill="1" applyBorder="1" applyAlignment="1" applyProtection="1">
      <alignment horizontal="left"/>
      <protection locked="0"/>
    </xf>
    <xf numFmtId="0" fontId="26" fillId="8" borderId="64" xfId="0" applyFont="1" applyFill="1" applyBorder="1" applyAlignment="1" applyProtection="1">
      <alignment horizontal="left"/>
      <protection locked="0"/>
    </xf>
    <xf numFmtId="0" fontId="26" fillId="8" borderId="24" xfId="0" applyFont="1" applyFill="1" applyBorder="1" applyAlignment="1" applyProtection="1">
      <alignment horizontal="left"/>
      <protection locked="0"/>
    </xf>
    <xf numFmtId="0" fontId="26" fillId="8" borderId="0" xfId="0" applyFont="1" applyFill="1" applyAlignment="1" applyProtection="1">
      <alignment horizontal="left"/>
      <protection locked="0"/>
    </xf>
    <xf numFmtId="0" fontId="26" fillId="8" borderId="4" xfId="0" applyFont="1" applyFill="1" applyBorder="1" applyAlignment="1" applyProtection="1">
      <alignment horizontal="left"/>
      <protection locked="0"/>
    </xf>
    <xf numFmtId="0" fontId="26" fillId="8" borderId="5" xfId="0" applyFont="1" applyFill="1" applyBorder="1" applyAlignment="1" applyProtection="1">
      <alignment horizontal="left"/>
      <protection locked="0"/>
    </xf>
    <xf numFmtId="0" fontId="26" fillId="6" borderId="30" xfId="0" applyFont="1" applyFill="1" applyBorder="1" applyAlignment="1">
      <alignment horizontal="left"/>
    </xf>
    <xf numFmtId="0" fontId="26" fillId="6" borderId="32" xfId="0" applyFont="1" applyFill="1" applyBorder="1" applyAlignment="1">
      <alignment horizontal="left"/>
    </xf>
    <xf numFmtId="0" fontId="26" fillId="6" borderId="31" xfId="0" applyFont="1" applyFill="1" applyBorder="1" applyAlignment="1">
      <alignment horizontal="left"/>
    </xf>
    <xf numFmtId="0" fontId="27" fillId="0" borderId="14" xfId="0" applyFont="1" applyBorder="1" applyAlignment="1">
      <alignment horizontal="left"/>
    </xf>
    <xf numFmtId="0" fontId="27" fillId="0" borderId="51" xfId="0" applyFont="1" applyBorder="1" applyAlignment="1">
      <alignment horizontal="left"/>
    </xf>
    <xf numFmtId="0" fontId="27" fillId="0" borderId="52" xfId="0" applyFont="1" applyBorder="1" applyAlignment="1">
      <alignment horizontal="left" vertical="center"/>
    </xf>
    <xf numFmtId="0" fontId="26" fillId="8" borderId="21" xfId="0" applyFont="1" applyFill="1" applyBorder="1" applyAlignment="1" applyProtection="1">
      <alignment horizontal="left"/>
      <protection locked="0"/>
    </xf>
    <xf numFmtId="0" fontId="26" fillId="8" borderId="22" xfId="0" applyFont="1" applyFill="1" applyBorder="1" applyAlignment="1" applyProtection="1">
      <alignment horizontal="left"/>
      <protection locked="0"/>
    </xf>
    <xf numFmtId="0" fontId="26" fillId="8" borderId="22" xfId="0" applyFont="1" applyFill="1" applyBorder="1" applyAlignment="1">
      <alignment horizontal="center"/>
    </xf>
    <xf numFmtId="0" fontId="23" fillId="8" borderId="6" xfId="4" applyFill="1" applyBorder="1" applyAlignment="1" applyProtection="1">
      <alignment horizontal="left"/>
      <protection locked="0"/>
    </xf>
    <xf numFmtId="0" fontId="23" fillId="8" borderId="7" xfId="4" applyFill="1" applyBorder="1" applyAlignment="1" applyProtection="1">
      <alignment horizontal="left"/>
      <protection locked="0"/>
    </xf>
    <xf numFmtId="0" fontId="23" fillId="8" borderId="8" xfId="4" applyFill="1" applyBorder="1" applyAlignment="1" applyProtection="1">
      <alignment horizontal="left"/>
      <protection locked="0"/>
    </xf>
    <xf numFmtId="0" fontId="26" fillId="8" borderId="28" xfId="0" applyFont="1" applyFill="1" applyBorder="1" applyAlignment="1" applyProtection="1">
      <alignment horizontal="left"/>
      <protection locked="0"/>
    </xf>
    <xf numFmtId="0" fontId="26" fillId="8" borderId="38" xfId="0" applyFont="1" applyFill="1" applyBorder="1" applyAlignment="1" applyProtection="1">
      <alignment horizontal="left"/>
      <protection locked="0"/>
    </xf>
    <xf numFmtId="0" fontId="26" fillId="0" borderId="25" xfId="0" applyFont="1" applyBorder="1" applyAlignment="1">
      <alignment horizontal="left"/>
    </xf>
    <xf numFmtId="0" fontId="26" fillId="0" borderId="26" xfId="0" applyFont="1" applyBorder="1" applyAlignment="1">
      <alignment horizontal="left"/>
    </xf>
    <xf numFmtId="0" fontId="26" fillId="0" borderId="63" xfId="0" applyFont="1" applyBorder="1" applyAlignment="1">
      <alignment horizontal="left"/>
    </xf>
    <xf numFmtId="14" fontId="26" fillId="8" borderId="4" xfId="0" applyNumberFormat="1" applyFont="1" applyFill="1" applyBorder="1" applyAlignment="1" applyProtection="1">
      <alignment horizontal="center" vertical="center"/>
      <protection locked="0"/>
    </xf>
    <xf numFmtId="14" fontId="26" fillId="8" borderId="20" xfId="0" applyNumberFormat="1" applyFont="1" applyFill="1" applyBorder="1" applyAlignment="1" applyProtection="1">
      <alignment horizontal="center" vertical="center"/>
      <protection locked="0"/>
    </xf>
    <xf numFmtId="0" fontId="26" fillId="0" borderId="68" xfId="0" applyFont="1" applyBorder="1" applyAlignment="1">
      <alignment horizontal="left"/>
    </xf>
    <xf numFmtId="0" fontId="26" fillId="0" borderId="64" xfId="0" applyFont="1" applyBorder="1" applyAlignment="1">
      <alignment horizontal="left"/>
    </xf>
    <xf numFmtId="0" fontId="26" fillId="0" borderId="69" xfId="0" applyFont="1" applyBorder="1" applyAlignment="1">
      <alignment horizontal="left"/>
    </xf>
    <xf numFmtId="0" fontId="26" fillId="0" borderId="19" xfId="0" applyFont="1" applyBorder="1" applyAlignment="1">
      <alignment horizontal="left"/>
    </xf>
    <xf numFmtId="0" fontId="26" fillId="0" borderId="8" xfId="0" applyFont="1" applyBorder="1" applyAlignment="1">
      <alignment horizontal="left"/>
    </xf>
    <xf numFmtId="0" fontId="26" fillId="0" borderId="6" xfId="0" applyFont="1" applyBorder="1" applyAlignment="1">
      <alignment horizontal="left"/>
    </xf>
    <xf numFmtId="0" fontId="26" fillId="0" borderId="23" xfId="0" applyFont="1" applyBorder="1" applyAlignment="1">
      <alignment horizontal="left"/>
    </xf>
    <xf numFmtId="0" fontId="29" fillId="6" borderId="14" xfId="0" applyFont="1" applyFill="1" applyBorder="1" applyAlignment="1">
      <alignment horizontal="left"/>
    </xf>
    <xf numFmtId="0" fontId="29" fillId="6" borderId="9" xfId="0" applyFont="1" applyFill="1" applyBorder="1" applyAlignment="1">
      <alignment horizontal="left"/>
    </xf>
    <xf numFmtId="0" fontId="29" fillId="6" borderId="15" xfId="0" applyFont="1" applyFill="1" applyBorder="1" applyAlignment="1">
      <alignment horizontal="left"/>
    </xf>
    <xf numFmtId="0" fontId="35" fillId="8" borderId="59" xfId="0" applyFont="1" applyFill="1" applyBorder="1" applyAlignment="1" applyProtection="1">
      <alignment horizontal="center" vertical="center" wrapText="1"/>
      <protection locked="0"/>
    </xf>
    <xf numFmtId="0" fontId="35" fillId="8" borderId="60" xfId="0" applyFont="1" applyFill="1" applyBorder="1" applyAlignment="1" applyProtection="1">
      <alignment horizontal="center" vertical="center" wrapText="1"/>
      <protection locked="0"/>
    </xf>
    <xf numFmtId="0" fontId="35" fillId="0" borderId="22" xfId="0" applyFont="1" applyBorder="1" applyAlignment="1">
      <alignment horizontal="left" vertical="center"/>
    </xf>
    <xf numFmtId="0" fontId="35" fillId="0" borderId="65" xfId="0" applyFont="1" applyBorder="1" applyAlignment="1">
      <alignment horizontal="left" vertical="center"/>
    </xf>
    <xf numFmtId="0" fontId="35" fillId="6" borderId="30" xfId="0" applyFont="1" applyFill="1" applyBorder="1" applyAlignment="1" applyProtection="1">
      <alignment horizontal="center"/>
      <protection hidden="1"/>
    </xf>
    <xf numFmtId="0" fontId="35" fillId="6" borderId="31" xfId="0" applyFont="1" applyFill="1" applyBorder="1" applyAlignment="1" applyProtection="1">
      <alignment horizontal="center"/>
      <protection hidden="1"/>
    </xf>
    <xf numFmtId="0" fontId="38" fillId="0" borderId="0" xfId="0" applyFont="1" applyAlignment="1">
      <alignment horizontal="center" vertical="center" wrapText="1"/>
    </xf>
    <xf numFmtId="0" fontId="35" fillId="6" borderId="30" xfId="0" applyFont="1" applyFill="1" applyBorder="1" applyAlignment="1" applyProtection="1">
      <alignment horizontal="center" vertical="center"/>
      <protection hidden="1"/>
    </xf>
    <xf numFmtId="0" fontId="35" fillId="6" borderId="32" xfId="0" applyFont="1" applyFill="1" applyBorder="1" applyAlignment="1" applyProtection="1">
      <alignment horizontal="center" vertical="center"/>
      <protection hidden="1"/>
    </xf>
    <xf numFmtId="0" fontId="60" fillId="0" borderId="0" xfId="0" applyFont="1" applyAlignment="1" applyProtection="1">
      <alignment horizontal="center" vertical="center" wrapText="1"/>
      <protection hidden="1"/>
    </xf>
    <xf numFmtId="0" fontId="35" fillId="6" borderId="32" xfId="0" applyFont="1" applyFill="1" applyBorder="1" applyAlignment="1" applyProtection="1">
      <alignment horizontal="center"/>
      <protection hidden="1"/>
    </xf>
    <xf numFmtId="0" fontId="35" fillId="6" borderId="31" xfId="0" applyFont="1" applyFill="1" applyBorder="1" applyAlignment="1" applyProtection="1">
      <alignment horizontal="center" vertical="center"/>
      <protection hidden="1"/>
    </xf>
    <xf numFmtId="0" fontId="38" fillId="0" borderId="30" xfId="0" applyFont="1" applyBorder="1" applyAlignment="1" applyProtection="1">
      <alignment horizontal="center" vertical="center" wrapText="1"/>
      <protection hidden="1"/>
    </xf>
    <xf numFmtId="0" fontId="38" fillId="0" borderId="31" xfId="0" applyFont="1" applyBorder="1" applyAlignment="1" applyProtection="1">
      <alignment horizontal="center" vertical="center" wrapText="1"/>
      <protection hidden="1"/>
    </xf>
    <xf numFmtId="0" fontId="38" fillId="0" borderId="74" xfId="0" applyFont="1" applyBorder="1" applyAlignment="1" applyProtection="1">
      <alignment horizontal="center" vertical="center" wrapText="1"/>
      <protection hidden="1"/>
    </xf>
    <xf numFmtId="0" fontId="38" fillId="0" borderId="72" xfId="0" applyFont="1" applyBorder="1" applyAlignment="1" applyProtection="1">
      <alignment horizontal="center" vertical="center" wrapText="1"/>
      <protection hidden="1"/>
    </xf>
    <xf numFmtId="0" fontId="35" fillId="8" borderId="68" xfId="0" applyFont="1" applyFill="1" applyBorder="1" applyAlignment="1" applyProtection="1">
      <alignment horizontal="center" vertical="center" wrapText="1"/>
      <protection locked="0"/>
    </xf>
    <xf numFmtId="0" fontId="35" fillId="8" borderId="69" xfId="0" applyFont="1" applyFill="1" applyBorder="1" applyAlignment="1" applyProtection="1">
      <alignment horizontal="center" vertical="center" wrapText="1"/>
      <protection locked="0"/>
    </xf>
    <xf numFmtId="0" fontId="39" fillId="0" borderId="20" xfId="0" applyFont="1" applyBorder="1" applyAlignment="1">
      <alignment horizontal="left"/>
    </xf>
    <xf numFmtId="0" fontId="35" fillId="8" borderId="61" xfId="0" applyFont="1" applyFill="1" applyBorder="1" applyAlignment="1" applyProtection="1">
      <alignment horizontal="center" vertical="center" wrapText="1"/>
      <protection locked="0"/>
    </xf>
    <xf numFmtId="0" fontId="35" fillId="8" borderId="62" xfId="0" applyFont="1" applyFill="1" applyBorder="1" applyAlignment="1" applyProtection="1">
      <alignment horizontal="center" vertical="center" wrapText="1"/>
      <protection locked="0"/>
    </xf>
    <xf numFmtId="0" fontId="70" fillId="0" borderId="0" xfId="0" applyFont="1" applyAlignment="1">
      <alignment horizontal="center" vertical="center" wrapText="1"/>
    </xf>
    <xf numFmtId="0" fontId="52" fillId="0" borderId="34" xfId="0" applyFont="1" applyBorder="1" applyAlignment="1">
      <alignment horizontal="center"/>
    </xf>
    <xf numFmtId="0" fontId="52" fillId="0" borderId="35" xfId="0" applyFont="1" applyBorder="1" applyAlignment="1">
      <alignment horizontal="center"/>
    </xf>
    <xf numFmtId="0" fontId="38" fillId="0" borderId="24" xfId="0" applyFont="1" applyBorder="1" applyAlignment="1">
      <alignment horizontal="center" wrapText="1"/>
    </xf>
    <xf numFmtId="0" fontId="38" fillId="0" borderId="0" xfId="0" applyFont="1" applyAlignment="1">
      <alignment horizontal="center" wrapText="1"/>
    </xf>
    <xf numFmtId="0" fontId="35" fillId="8" borderId="38" xfId="0" applyFont="1" applyFill="1" applyBorder="1" applyAlignment="1" applyProtection="1">
      <alignment horizontal="center" vertical="center"/>
      <protection locked="0"/>
    </xf>
    <xf numFmtId="0" fontId="35" fillId="8" borderId="28" xfId="0" applyFont="1" applyFill="1" applyBorder="1" applyAlignment="1" applyProtection="1">
      <alignment horizontal="center" vertical="center"/>
      <protection locked="0"/>
    </xf>
    <xf numFmtId="0" fontId="35" fillId="8" borderId="29" xfId="0" applyFont="1" applyFill="1" applyBorder="1" applyAlignment="1" applyProtection="1">
      <alignment horizontal="center" vertical="center"/>
      <protection locked="0"/>
    </xf>
    <xf numFmtId="0" fontId="35" fillId="8" borderId="34" xfId="0" applyFont="1" applyFill="1" applyBorder="1" applyAlignment="1" applyProtection="1">
      <alignment horizontal="center" vertical="center"/>
      <protection locked="0"/>
    </xf>
    <xf numFmtId="0" fontId="35" fillId="8" borderId="42" xfId="0" applyFont="1" applyFill="1" applyBorder="1" applyAlignment="1" applyProtection="1">
      <alignment horizontal="center" vertical="center"/>
      <protection locked="0"/>
    </xf>
    <xf numFmtId="0" fontId="35" fillId="8" borderId="35" xfId="0" applyFont="1" applyFill="1" applyBorder="1" applyAlignment="1" applyProtection="1">
      <alignment horizontal="center" vertical="center"/>
      <protection locked="0"/>
    </xf>
    <xf numFmtId="0" fontId="35" fillId="8" borderId="24" xfId="0" applyFont="1" applyFill="1" applyBorder="1" applyAlignment="1" applyProtection="1">
      <alignment horizontal="center" vertical="center"/>
      <protection locked="0"/>
    </xf>
    <xf numFmtId="0" fontId="35" fillId="8" borderId="0" xfId="0" applyFont="1" applyFill="1" applyAlignment="1" applyProtection="1">
      <alignment horizontal="center" vertical="center"/>
      <protection locked="0"/>
    </xf>
    <xf numFmtId="0" fontId="35" fillId="8" borderId="20" xfId="0" applyFont="1" applyFill="1" applyBorder="1" applyAlignment="1" applyProtection="1">
      <alignment horizontal="center" vertical="center"/>
      <protection locked="0"/>
    </xf>
    <xf numFmtId="0" fontId="38" fillId="0" borderId="28" xfId="0" applyFont="1" applyBorder="1" applyAlignment="1">
      <alignment horizontal="center"/>
    </xf>
    <xf numFmtId="0" fontId="35" fillId="8" borderId="30" xfId="0" applyFont="1" applyFill="1" applyBorder="1" applyAlignment="1" applyProtection="1">
      <alignment horizontal="center" vertical="center"/>
      <protection locked="0"/>
    </xf>
    <xf numFmtId="0" fontId="35" fillId="8" borderId="32" xfId="0" applyFont="1" applyFill="1" applyBorder="1" applyAlignment="1" applyProtection="1">
      <alignment horizontal="center" vertical="center"/>
      <protection locked="0"/>
    </xf>
    <xf numFmtId="0" fontId="38" fillId="0" borderId="30" xfId="0" applyFont="1" applyBorder="1" applyAlignment="1">
      <alignment horizontal="center" vertical="center"/>
    </xf>
    <xf numFmtId="0" fontId="38" fillId="0" borderId="32" xfId="0" applyFont="1" applyBorder="1" applyAlignment="1">
      <alignment horizontal="center" vertical="center"/>
    </xf>
    <xf numFmtId="0" fontId="38" fillId="0" borderId="31" xfId="0" applyFont="1" applyBorder="1" applyAlignment="1">
      <alignment horizontal="center" vertical="center"/>
    </xf>
    <xf numFmtId="0" fontId="38" fillId="0" borderId="19" xfId="0" applyFont="1" applyBorder="1" applyAlignment="1">
      <alignment horizontal="center" vertical="center"/>
    </xf>
    <xf numFmtId="0" fontId="38" fillId="0" borderId="14" xfId="0" applyFont="1" applyBorder="1" applyAlignment="1">
      <alignment horizontal="center" vertical="center"/>
    </xf>
    <xf numFmtId="0" fontId="38" fillId="0" borderId="40" xfId="0" applyFont="1" applyBorder="1" applyAlignment="1">
      <alignment horizontal="center" vertical="center" wrapText="1"/>
    </xf>
    <xf numFmtId="0" fontId="38" fillId="0" borderId="50" xfId="0" applyFont="1" applyBorder="1" applyAlignment="1">
      <alignment horizontal="center" vertical="center" wrapText="1"/>
    </xf>
    <xf numFmtId="0" fontId="38" fillId="0" borderId="7" xfId="0" applyFont="1" applyBorder="1" applyAlignment="1">
      <alignment horizontal="center" vertical="center"/>
    </xf>
    <xf numFmtId="0" fontId="38" fillId="0" borderId="9" xfId="0" applyFont="1" applyBorder="1" applyAlignment="1">
      <alignment horizontal="center" vertical="center"/>
    </xf>
    <xf numFmtId="0" fontId="38" fillId="0" borderId="73" xfId="0" applyFont="1" applyBorder="1" applyAlignment="1">
      <alignment horizontal="center" vertical="center"/>
    </xf>
    <xf numFmtId="49" fontId="35" fillId="7" borderId="30" xfId="0" applyNumberFormat="1" applyFont="1" applyFill="1" applyBorder="1" applyAlignment="1">
      <alignment horizontal="right" vertical="center"/>
    </xf>
    <xf numFmtId="49" fontId="35" fillId="7" borderId="31" xfId="0" applyNumberFormat="1" applyFont="1" applyFill="1" applyBorder="1" applyAlignment="1">
      <alignment horizontal="right" vertical="center"/>
    </xf>
    <xf numFmtId="0" fontId="35" fillId="0" borderId="0" xfId="0" applyFont="1" applyAlignment="1">
      <alignment horizontal="center" wrapText="1"/>
    </xf>
    <xf numFmtId="0" fontId="52" fillId="0" borderId="0" xfId="0" applyFont="1" applyAlignment="1">
      <alignment horizontal="center" wrapText="1"/>
    </xf>
    <xf numFmtId="0" fontId="35" fillId="8" borderId="34" xfId="0" applyFont="1" applyFill="1" applyBorder="1" applyAlignment="1" applyProtection="1">
      <alignment horizontal="center"/>
      <protection locked="0"/>
    </xf>
    <xf numFmtId="0" fontId="35" fillId="8" borderId="35" xfId="0" applyFont="1" applyFill="1" applyBorder="1" applyAlignment="1" applyProtection="1">
      <alignment horizontal="center"/>
      <protection locked="0"/>
    </xf>
    <xf numFmtId="0" fontId="35" fillId="8" borderId="24" xfId="0" applyFont="1" applyFill="1" applyBorder="1" applyAlignment="1" applyProtection="1">
      <alignment horizontal="center"/>
      <protection locked="0"/>
    </xf>
    <xf numFmtId="0" fontId="35" fillId="8" borderId="20" xfId="0" applyFont="1" applyFill="1" applyBorder="1" applyAlignment="1" applyProtection="1">
      <alignment horizontal="center"/>
      <protection locked="0"/>
    </xf>
    <xf numFmtId="0" fontId="38" fillId="8" borderId="38" xfId="0" applyFont="1" applyFill="1" applyBorder="1" applyAlignment="1" applyProtection="1">
      <alignment horizontal="center"/>
      <protection locked="0"/>
    </xf>
    <xf numFmtId="0" fontId="38" fillId="8" borderId="29" xfId="0" applyFont="1" applyFill="1" applyBorder="1" applyAlignment="1" applyProtection="1">
      <alignment horizontal="center"/>
      <protection locked="0"/>
    </xf>
    <xf numFmtId="0" fontId="35" fillId="0" borderId="24" xfId="0" applyFont="1" applyBorder="1" applyAlignment="1">
      <alignment horizontal="center" vertical="center"/>
    </xf>
    <xf numFmtId="0" fontId="35" fillId="0" borderId="0" xfId="0" applyFont="1" applyAlignment="1">
      <alignment horizontal="center" vertical="center"/>
    </xf>
    <xf numFmtId="0" fontId="80" fillId="0" borderId="24" xfId="0" applyFont="1" applyBorder="1" applyAlignment="1">
      <alignment horizontal="center" vertical="center" wrapText="1"/>
    </xf>
    <xf numFmtId="0" fontId="80" fillId="0" borderId="0" xfId="0" applyFont="1" applyAlignment="1">
      <alignment horizontal="center" vertical="center" wrapText="1"/>
    </xf>
    <xf numFmtId="0" fontId="38" fillId="0" borderId="39" xfId="0" applyFont="1" applyBorder="1" applyAlignment="1">
      <alignment horizontal="center" vertical="center" wrapText="1"/>
    </xf>
    <xf numFmtId="0" fontId="35" fillId="6" borderId="30" xfId="0" applyFont="1" applyFill="1" applyBorder="1" applyAlignment="1">
      <alignment horizontal="left" vertical="center"/>
    </xf>
    <xf numFmtId="0" fontId="35" fillId="6" borderId="32" xfId="0" applyFont="1" applyFill="1" applyBorder="1" applyAlignment="1">
      <alignment horizontal="left" vertical="center"/>
    </xf>
    <xf numFmtId="0" fontId="36" fillId="6" borderId="32" xfId="0" applyFont="1" applyFill="1" applyBorder="1" applyAlignment="1">
      <alignment horizontal="right" vertical="center"/>
    </xf>
    <xf numFmtId="0" fontId="36" fillId="6" borderId="31" xfId="0" applyFont="1" applyFill="1" applyBorder="1" applyAlignment="1">
      <alignment horizontal="right" vertical="center"/>
    </xf>
    <xf numFmtId="0" fontId="38" fillId="0" borderId="0" xfId="0" applyFont="1" applyAlignment="1">
      <alignment horizontal="left" vertical="center"/>
    </xf>
    <xf numFmtId="0" fontId="35" fillId="0" borderId="0" xfId="0" applyFont="1" applyAlignment="1">
      <alignment horizontal="left" vertical="center"/>
    </xf>
    <xf numFmtId="0" fontId="45" fillId="0" borderId="30" xfId="0" applyFont="1" applyBorder="1" applyAlignment="1">
      <alignment horizontal="right"/>
    </xf>
    <xf numFmtId="0" fontId="45" fillId="0" borderId="32" xfId="0" applyFont="1" applyBorder="1" applyAlignment="1">
      <alignment horizontal="right"/>
    </xf>
    <xf numFmtId="0" fontId="45" fillId="0" borderId="31" xfId="0" applyFont="1" applyBorder="1" applyAlignment="1">
      <alignment horizontal="right"/>
    </xf>
    <xf numFmtId="49" fontId="38" fillId="0" borderId="36" xfId="0" applyNumberFormat="1" applyFont="1" applyBorder="1" applyAlignment="1">
      <alignment horizontal="left" vertical="center"/>
    </xf>
    <xf numFmtId="0" fontId="0" fillId="0" borderId="53" xfId="0" applyBorder="1" applyAlignment="1">
      <alignment horizontal="center" vertical="center"/>
    </xf>
    <xf numFmtId="0" fontId="0" fillId="0" borderId="9"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38" fillId="0" borderId="0" xfId="0" applyFont="1" applyAlignment="1">
      <alignment horizontal="center" vertical="center"/>
    </xf>
    <xf numFmtId="0" fontId="45" fillId="0" borderId="30" xfId="0" applyFont="1" applyBorder="1" applyAlignment="1">
      <alignment horizontal="center"/>
    </xf>
    <xf numFmtId="0" fontId="45" fillId="0" borderId="31" xfId="0" applyFont="1" applyBorder="1" applyAlignment="1">
      <alignment horizontal="center"/>
    </xf>
    <xf numFmtId="0" fontId="38" fillId="0" borderId="28" xfId="0" applyFont="1" applyBorder="1" applyAlignment="1" applyProtection="1">
      <alignment horizontal="center" vertical="center"/>
      <protection hidden="1"/>
    </xf>
    <xf numFmtId="0" fontId="38" fillId="0" borderId="30" xfId="0" applyFont="1" applyBorder="1" applyAlignment="1" applyProtection="1">
      <alignment horizontal="center" vertical="center"/>
      <protection hidden="1"/>
    </xf>
    <xf numFmtId="0" fontId="38" fillId="0" borderId="31" xfId="0" applyFont="1" applyBorder="1" applyAlignment="1" applyProtection="1">
      <alignment horizontal="center" vertical="center"/>
      <protection hidden="1"/>
    </xf>
    <xf numFmtId="0" fontId="55" fillId="0" borderId="34" xfId="0" applyFont="1" applyBorder="1" applyAlignment="1" applyProtection="1">
      <alignment horizontal="center" vertical="center"/>
      <protection locked="0"/>
    </xf>
    <xf numFmtId="0" fontId="55" fillId="0" borderId="35" xfId="0" applyFont="1" applyBorder="1" applyAlignment="1" applyProtection="1">
      <alignment horizontal="center" vertical="center"/>
      <protection locked="0"/>
    </xf>
    <xf numFmtId="0" fontId="55" fillId="0" borderId="24" xfId="0" applyFont="1" applyBorder="1" applyAlignment="1" applyProtection="1">
      <alignment horizontal="center" vertical="center"/>
      <protection locked="0"/>
    </xf>
    <xf numFmtId="0" fontId="55" fillId="0" borderId="20" xfId="0" applyFont="1" applyBorder="1" applyAlignment="1" applyProtection="1">
      <alignment horizontal="center" vertical="center"/>
      <protection locked="0"/>
    </xf>
    <xf numFmtId="0" fontId="55" fillId="0" borderId="38" xfId="0" applyFont="1" applyBorder="1" applyAlignment="1" applyProtection="1">
      <alignment horizontal="center" vertical="center"/>
      <protection locked="0"/>
    </xf>
    <xf numFmtId="0" fontId="55" fillId="0" borderId="29" xfId="0" applyFont="1" applyBorder="1" applyAlignment="1" applyProtection="1">
      <alignment horizontal="center" vertical="center"/>
      <protection locked="0"/>
    </xf>
    <xf numFmtId="0" fontId="38" fillId="0" borderId="35" xfId="0" applyFont="1" applyBorder="1" applyAlignment="1" applyProtection="1">
      <alignment horizontal="center" vertical="center"/>
      <protection hidden="1"/>
    </xf>
    <xf numFmtId="0" fontId="38" fillId="0" borderId="29" xfId="0" applyFont="1" applyBorder="1" applyAlignment="1" applyProtection="1">
      <alignment horizontal="center" vertical="center"/>
      <protection hidden="1"/>
    </xf>
    <xf numFmtId="0" fontId="38" fillId="0" borderId="34" xfId="0" applyFont="1" applyBorder="1" applyAlignment="1" applyProtection="1">
      <alignment horizontal="center" vertical="center"/>
      <protection hidden="1"/>
    </xf>
    <xf numFmtId="0" fontId="38" fillId="0" borderId="38" xfId="0" applyFont="1" applyBorder="1" applyAlignment="1" applyProtection="1">
      <alignment horizontal="center" vertical="center"/>
      <protection hidden="1"/>
    </xf>
    <xf numFmtId="167" fontId="38" fillId="0" borderId="35" xfId="0" applyNumberFormat="1" applyFont="1" applyBorder="1" applyAlignment="1">
      <alignment horizontal="center" vertical="center"/>
    </xf>
    <xf numFmtId="167" fontId="38" fillId="0" borderId="29" xfId="0" applyNumberFormat="1" applyFont="1" applyBorder="1" applyAlignment="1">
      <alignment horizontal="center" vertical="center"/>
    </xf>
    <xf numFmtId="0" fontId="38" fillId="0" borderId="30" xfId="0" applyFont="1" applyBorder="1" applyAlignment="1">
      <alignment horizontal="left" vertical="center" wrapText="1"/>
    </xf>
    <xf numFmtId="0" fontId="38" fillId="0" borderId="32" xfId="0" applyFont="1" applyBorder="1" applyAlignment="1">
      <alignment horizontal="left" vertical="center" wrapText="1"/>
    </xf>
    <xf numFmtId="0" fontId="38" fillId="0" borderId="31" xfId="0" applyFont="1" applyBorder="1" applyAlignment="1">
      <alignment horizontal="left" vertical="center" wrapText="1"/>
    </xf>
    <xf numFmtId="0" fontId="81" fillId="0" borderId="0" xfId="0" applyFont="1" applyAlignment="1">
      <alignment horizontal="center" vertical="center" wrapText="1"/>
    </xf>
    <xf numFmtId="164" fontId="82" fillId="0" borderId="0" xfId="0" applyNumberFormat="1" applyFont="1" applyAlignment="1">
      <alignment horizontal="center" vertical="center" wrapText="1"/>
    </xf>
    <xf numFmtId="0" fontId="35" fillId="6" borderId="75" xfId="0" applyFont="1" applyFill="1" applyBorder="1" applyAlignment="1">
      <alignment horizontal="center"/>
    </xf>
    <xf numFmtId="0" fontId="35" fillId="6" borderId="76" xfId="0" applyFont="1" applyFill="1" applyBorder="1" applyAlignment="1">
      <alignment horizontal="center"/>
    </xf>
    <xf numFmtId="0" fontId="35" fillId="6" borderId="35" xfId="0"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37" xfId="0" applyFont="1" applyBorder="1" applyAlignment="1">
      <alignment horizontal="center" wrapText="1"/>
    </xf>
    <xf numFmtId="0" fontId="2" fillId="0" borderId="39" xfId="0" applyFont="1" applyBorder="1" applyAlignment="1">
      <alignment horizontal="center" wrapText="1"/>
    </xf>
    <xf numFmtId="0" fontId="2" fillId="0" borderId="70" xfId="0" applyFont="1" applyBorder="1" applyAlignment="1">
      <alignment horizontal="center" vertical="center"/>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4" xfId="0" applyFont="1" applyBorder="1" applyAlignment="1">
      <alignment horizontal="center"/>
    </xf>
    <xf numFmtId="0" fontId="20" fillId="5" borderId="0" xfId="0" applyFont="1" applyFill="1" applyAlignment="1">
      <alignment horizontal="center" wrapText="1"/>
    </xf>
    <xf numFmtId="0" fontId="2" fillId="0" borderId="30" xfId="0" applyFont="1" applyBorder="1" applyAlignment="1">
      <alignment horizontal="center"/>
    </xf>
    <xf numFmtId="0" fontId="2" fillId="0" borderId="32" xfId="0" applyFont="1" applyBorder="1" applyAlignment="1">
      <alignment horizontal="center"/>
    </xf>
    <xf numFmtId="0" fontId="2" fillId="0" borderId="31" xfId="0" applyFont="1" applyBorder="1" applyAlignment="1">
      <alignment horizontal="center"/>
    </xf>
    <xf numFmtId="0" fontId="2" fillId="0" borderId="0" xfId="0" applyFont="1" applyAlignment="1">
      <alignment horizontal="center" vertical="center"/>
    </xf>
    <xf numFmtId="0" fontId="0" fillId="0" borderId="75" xfId="0" applyBorder="1" applyAlignment="1">
      <alignment horizontal="center" vertical="center"/>
    </xf>
    <xf numFmtId="0" fontId="0" fillId="0" borderId="47" xfId="0" applyBorder="1" applyAlignment="1">
      <alignment horizontal="center" vertical="center"/>
    </xf>
    <xf numFmtId="0" fontId="0" fillId="0" borderId="76"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4"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49" fontId="25" fillId="0" borderId="30" xfId="0" applyNumberFormat="1" applyFont="1" applyBorder="1" applyAlignment="1">
      <alignment horizontal="center" vertical="center"/>
    </xf>
    <xf numFmtId="49" fontId="25" fillId="0" borderId="32" xfId="0" applyNumberFormat="1" applyFont="1" applyBorder="1" applyAlignment="1">
      <alignment horizontal="center" vertical="center"/>
    </xf>
    <xf numFmtId="49" fontId="25" fillId="0" borderId="31" xfId="0" applyNumberFormat="1" applyFont="1" applyBorder="1" applyAlignment="1">
      <alignment horizontal="center" vertical="center"/>
    </xf>
    <xf numFmtId="0" fontId="3" fillId="2" borderId="34" xfId="2" applyFont="1" applyFill="1" applyBorder="1" applyAlignment="1">
      <alignment horizontal="left"/>
    </xf>
    <xf numFmtId="0" fontId="3" fillId="2" borderId="42" xfId="2" applyFont="1" applyFill="1" applyBorder="1" applyAlignment="1">
      <alignment horizontal="left"/>
    </xf>
    <xf numFmtId="0" fontId="3" fillId="2" borderId="46" xfId="2" applyFont="1" applyFill="1" applyBorder="1" applyAlignment="1">
      <alignment horizontal="left"/>
    </xf>
    <xf numFmtId="172" fontId="3" fillId="0" borderId="12" xfId="0" applyNumberFormat="1" applyFont="1" applyBorder="1" applyAlignment="1">
      <alignment horizontal="left"/>
    </xf>
    <xf numFmtId="172" fontId="3" fillId="0" borderId="13" xfId="0" applyNumberFormat="1" applyFont="1" applyBorder="1" applyAlignment="1">
      <alignment horizontal="left"/>
    </xf>
    <xf numFmtId="0" fontId="4" fillId="0" borderId="21" xfId="0" applyFont="1" applyBorder="1" applyAlignment="1">
      <alignment horizontal="left"/>
    </xf>
    <xf numFmtId="0" fontId="4" fillId="0" borderId="22" xfId="0" applyFont="1" applyBorder="1" applyAlignment="1">
      <alignment horizontal="left"/>
    </xf>
    <xf numFmtId="0" fontId="4" fillId="0" borderId="65" xfId="0" applyFont="1" applyBorder="1" applyAlignment="1">
      <alignment horizontal="left"/>
    </xf>
    <xf numFmtId="0" fontId="4" fillId="0" borderId="66"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left"/>
    </xf>
    <xf numFmtId="0" fontId="4" fillId="0" borderId="18" xfId="0" applyFont="1" applyBorder="1" applyAlignment="1">
      <alignment horizontal="left"/>
    </xf>
    <xf numFmtId="0" fontId="3" fillId="0" borderId="19"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left"/>
    </xf>
    <xf numFmtId="0" fontId="3" fillId="0" borderId="8" xfId="0" applyFont="1" applyBorder="1" applyAlignment="1">
      <alignment horizontal="left"/>
    </xf>
    <xf numFmtId="0" fontId="3" fillId="0" borderId="2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4" fillId="0" borderId="20" xfId="0" applyFont="1" applyBorder="1" applyAlignment="1">
      <alignment horizontal="left"/>
    </xf>
    <xf numFmtId="0" fontId="3" fillId="0" borderId="25" xfId="0" applyFont="1" applyBorder="1" applyAlignment="1">
      <alignment horizontal="left"/>
    </xf>
    <xf numFmtId="0" fontId="3" fillId="0" borderId="26" xfId="0" applyFont="1" applyBorder="1" applyAlignment="1">
      <alignment horizontal="left"/>
    </xf>
    <xf numFmtId="0" fontId="3" fillId="0" borderId="27" xfId="0" applyFont="1" applyBorder="1" applyAlignment="1">
      <alignment horizontal="left"/>
    </xf>
    <xf numFmtId="0" fontId="3" fillId="0" borderId="28" xfId="0" applyFont="1" applyBorder="1" applyAlignment="1">
      <alignment horizontal="left"/>
    </xf>
    <xf numFmtId="0" fontId="3" fillId="0" borderId="29" xfId="0" applyFont="1" applyBorder="1" applyAlignment="1">
      <alignment horizontal="left"/>
    </xf>
    <xf numFmtId="0" fontId="5" fillId="0" borderId="28" xfId="2" applyFont="1" applyBorder="1" applyAlignment="1">
      <alignment horizontal="center" vertical="center" wrapText="1"/>
    </xf>
    <xf numFmtId="0" fontId="2" fillId="0" borderId="58" xfId="2" applyFont="1" applyBorder="1" applyAlignment="1">
      <alignment horizontal="left"/>
    </xf>
    <xf numFmtId="0" fontId="2" fillId="0" borderId="12" xfId="2" applyFont="1" applyBorder="1" applyAlignment="1">
      <alignment horizontal="left"/>
    </xf>
    <xf numFmtId="0" fontId="2" fillId="3" borderId="49" xfId="2" applyFont="1" applyFill="1" applyBorder="1" applyAlignment="1" applyProtection="1">
      <alignment horizontal="center" vertical="center"/>
      <protection locked="0"/>
    </xf>
    <xf numFmtId="0" fontId="2" fillId="3" borderId="11" xfId="2" applyFont="1" applyFill="1" applyBorder="1" applyAlignment="1" applyProtection="1">
      <alignment horizontal="center" vertical="center"/>
      <protection locked="0"/>
    </xf>
    <xf numFmtId="0" fontId="2" fillId="3" borderId="41" xfId="2" applyFont="1" applyFill="1" applyBorder="1" applyAlignment="1" applyProtection="1">
      <alignment horizontal="center" vertical="center"/>
      <protection locked="0"/>
    </xf>
    <xf numFmtId="0" fontId="7" fillId="0" borderId="0" xfId="0" applyFont="1" applyAlignment="1">
      <alignment horizontal="center" vertical="center" wrapText="1"/>
    </xf>
    <xf numFmtId="0" fontId="2" fillId="0" borderId="59" xfId="2" applyFont="1" applyBorder="1" applyAlignment="1">
      <alignment horizontal="left"/>
    </xf>
    <xf numFmtId="0" fontId="2" fillId="0" borderId="52" xfId="2" applyFont="1" applyBorder="1" applyAlignment="1">
      <alignment horizontal="left"/>
    </xf>
    <xf numFmtId="0" fontId="2" fillId="3" borderId="52" xfId="2" applyFont="1" applyFill="1" applyBorder="1" applyAlignment="1" applyProtection="1">
      <alignment horizontal="center" vertical="center"/>
      <protection locked="0"/>
    </xf>
    <xf numFmtId="0" fontId="2" fillId="3" borderId="60" xfId="2" applyFont="1" applyFill="1" applyBorder="1" applyAlignment="1" applyProtection="1">
      <alignment horizontal="center" vertical="center"/>
      <protection locked="0"/>
    </xf>
    <xf numFmtId="164" fontId="7" fillId="0" borderId="0" xfId="0" applyNumberFormat="1" applyFont="1" applyAlignment="1">
      <alignment horizontal="center" vertical="center" wrapText="1"/>
    </xf>
    <xf numFmtId="0" fontId="2" fillId="0" borderId="52" xfId="2" applyFont="1" applyBorder="1" applyAlignment="1">
      <alignment horizontal="center" vertical="center"/>
    </xf>
    <xf numFmtId="0" fontId="2" fillId="0" borderId="60" xfId="2" applyFont="1" applyBorder="1" applyAlignment="1">
      <alignment horizontal="center" vertical="center"/>
    </xf>
    <xf numFmtId="172" fontId="7" fillId="0" borderId="0" xfId="0" applyNumberFormat="1" applyFont="1" applyAlignment="1">
      <alignment horizontal="center" vertical="center" wrapText="1"/>
    </xf>
    <xf numFmtId="0" fontId="2" fillId="0" borderId="61" xfId="2" applyFont="1" applyBorder="1" applyAlignment="1">
      <alignment horizontal="left"/>
    </xf>
    <xf numFmtId="0" fontId="2" fillId="0" borderId="56" xfId="2" applyFont="1" applyBorder="1" applyAlignment="1">
      <alignment horizontal="left"/>
    </xf>
    <xf numFmtId="0" fontId="2" fillId="0" borderId="56" xfId="2" applyFont="1" applyBorder="1" applyAlignment="1">
      <alignment horizontal="center" vertical="center"/>
    </xf>
    <xf numFmtId="0" fontId="2" fillId="0" borderId="62" xfId="2" applyFont="1" applyBorder="1" applyAlignment="1">
      <alignment horizontal="center" vertical="center"/>
    </xf>
    <xf numFmtId="0" fontId="2" fillId="0" borderId="70" xfId="2" applyFont="1" applyBorder="1" applyAlignment="1">
      <alignment horizontal="center" vertical="center"/>
    </xf>
    <xf numFmtId="0" fontId="2" fillId="0" borderId="71" xfId="2" applyFont="1" applyBorder="1" applyAlignment="1">
      <alignment horizontal="center" vertical="center"/>
    </xf>
    <xf numFmtId="0" fontId="2" fillId="0" borderId="72" xfId="2" applyFont="1" applyBorder="1" applyAlignment="1">
      <alignment horizontal="center" vertical="center"/>
    </xf>
    <xf numFmtId="2" fontId="2" fillId="3" borderId="6" xfId="2" applyNumberFormat="1" applyFont="1" applyFill="1" applyBorder="1" applyAlignment="1" applyProtection="1">
      <alignment horizontal="center" vertical="center"/>
      <protection locked="0"/>
    </xf>
    <xf numFmtId="2" fontId="2" fillId="3" borderId="8" xfId="2" applyNumberFormat="1" applyFont="1" applyFill="1" applyBorder="1" applyAlignment="1" applyProtection="1">
      <alignment horizontal="center" vertical="center"/>
      <protection locked="0"/>
    </xf>
    <xf numFmtId="2" fontId="2" fillId="3" borderId="23" xfId="2" applyNumberFormat="1" applyFont="1" applyFill="1" applyBorder="1" applyAlignment="1" applyProtection="1">
      <alignment horizontal="center" vertical="center"/>
      <protection locked="0"/>
    </xf>
    <xf numFmtId="2" fontId="2" fillId="3" borderId="53" xfId="2" applyNumberFormat="1" applyFont="1" applyFill="1" applyBorder="1" applyAlignment="1" applyProtection="1">
      <alignment horizontal="center" vertical="center"/>
      <protection locked="0"/>
    </xf>
    <xf numFmtId="2" fontId="2" fillId="3" borderId="51" xfId="2" applyNumberFormat="1" applyFont="1" applyFill="1" applyBorder="1" applyAlignment="1" applyProtection="1">
      <alignment horizontal="center" vertical="center"/>
      <protection locked="0"/>
    </xf>
    <xf numFmtId="2" fontId="2" fillId="0" borderId="53" xfId="2" applyNumberFormat="1" applyFont="1" applyBorder="1" applyAlignment="1">
      <alignment horizontal="center" vertical="center"/>
    </xf>
    <xf numFmtId="2" fontId="2" fillId="0" borderId="51" xfId="2" applyNumberFormat="1" applyFont="1" applyBorder="1" applyAlignment="1">
      <alignment horizontal="center" vertical="center"/>
    </xf>
    <xf numFmtId="0" fontId="2" fillId="0" borderId="51" xfId="2" applyFont="1" applyBorder="1" applyAlignment="1">
      <alignment horizontal="center" vertical="center"/>
    </xf>
    <xf numFmtId="171" fontId="2" fillId="3" borderId="53" xfId="2" applyNumberFormat="1" applyFont="1" applyFill="1" applyBorder="1" applyAlignment="1" applyProtection="1">
      <alignment horizontal="center" vertical="center"/>
      <protection locked="0"/>
    </xf>
    <xf numFmtId="171" fontId="2" fillId="3" borderId="51" xfId="2" applyNumberFormat="1" applyFont="1" applyFill="1" applyBorder="1" applyAlignment="1" applyProtection="1">
      <alignment horizontal="center" vertical="center"/>
      <protection locked="0"/>
    </xf>
    <xf numFmtId="171" fontId="2" fillId="0" borderId="53" xfId="2" applyNumberFormat="1" applyFont="1" applyBorder="1" applyAlignment="1">
      <alignment horizontal="center" vertical="center"/>
    </xf>
    <xf numFmtId="0" fontId="2" fillId="0" borderId="49" xfId="2" applyFont="1" applyBorder="1" applyAlignment="1">
      <alignment horizontal="center" vertical="center"/>
    </xf>
    <xf numFmtId="0" fontId="2" fillId="0" borderId="41" xfId="2" applyFont="1" applyBorder="1" applyAlignment="1">
      <alignment horizontal="center" vertical="center"/>
    </xf>
    <xf numFmtId="164" fontId="2" fillId="0" borderId="53" xfId="2" applyNumberFormat="1" applyFont="1" applyBorder="1" applyAlignment="1">
      <alignment horizontal="center" vertical="center"/>
    </xf>
    <xf numFmtId="164" fontId="2" fillId="0" borderId="51" xfId="2" applyNumberFormat="1" applyFont="1" applyBorder="1" applyAlignment="1">
      <alignment horizontal="center" vertical="center"/>
    </xf>
    <xf numFmtId="164" fontId="2" fillId="0" borderId="15" xfId="2" applyNumberFormat="1" applyFont="1" applyBorder="1" applyAlignment="1">
      <alignment horizontal="center" vertical="center"/>
    </xf>
    <xf numFmtId="0" fontId="2" fillId="0" borderId="24" xfId="2" applyFont="1" applyBorder="1" applyAlignment="1">
      <alignment horizontal="right"/>
    </xf>
    <xf numFmtId="0" fontId="2" fillId="0" borderId="0" xfId="2" applyFont="1" applyAlignment="1">
      <alignment horizontal="right"/>
    </xf>
    <xf numFmtId="168" fontId="2" fillId="0" borderId="53" xfId="2" applyNumberFormat="1" applyFont="1" applyBorder="1" applyAlignment="1">
      <alignment horizontal="center" vertical="center"/>
    </xf>
    <xf numFmtId="168" fontId="2" fillId="0" borderId="51" xfId="2" applyNumberFormat="1" applyFont="1" applyBorder="1" applyAlignment="1">
      <alignment horizontal="center" vertical="center"/>
    </xf>
    <xf numFmtId="0" fontId="2" fillId="0" borderId="15" xfId="2" applyFont="1" applyBorder="1" applyAlignment="1">
      <alignment horizontal="center" vertical="center"/>
    </xf>
    <xf numFmtId="1" fontId="2" fillId="0" borderId="57" xfId="2" applyNumberFormat="1" applyFont="1" applyBorder="1" applyAlignment="1">
      <alignment horizontal="center" vertical="center"/>
    </xf>
    <xf numFmtId="1" fontId="2" fillId="0" borderId="55" xfId="2" applyNumberFormat="1" applyFont="1" applyBorder="1" applyAlignment="1">
      <alignment horizontal="center" vertical="center"/>
    </xf>
    <xf numFmtId="1" fontId="2" fillId="0" borderId="45" xfId="2" applyNumberFormat="1" applyFont="1" applyBorder="1" applyAlignment="1">
      <alignment horizontal="center" vertical="center"/>
    </xf>
    <xf numFmtId="0" fontId="2" fillId="0" borderId="34" xfId="2" applyFont="1" applyBorder="1" applyAlignment="1">
      <alignment horizontal="right"/>
    </xf>
    <xf numFmtId="0" fontId="2" fillId="0" borderId="42" xfId="2" applyFont="1" applyBorder="1" applyAlignment="1">
      <alignment horizontal="right"/>
    </xf>
    <xf numFmtId="0" fontId="8" fillId="0" borderId="38" xfId="2" applyFont="1" applyBorder="1" applyAlignment="1">
      <alignment horizontal="center"/>
    </xf>
    <xf numFmtId="0" fontId="8" fillId="0" borderId="28" xfId="2" applyFont="1" applyBorder="1" applyAlignment="1">
      <alignment horizontal="center"/>
    </xf>
    <xf numFmtId="0" fontId="2" fillId="0" borderId="34" xfId="2" applyFont="1" applyBorder="1" applyAlignment="1">
      <alignment horizontal="center" vertical="center"/>
    </xf>
    <xf numFmtId="0" fontId="2" fillId="0" borderId="42" xfId="2" applyFont="1" applyBorder="1" applyAlignment="1">
      <alignment horizontal="center" vertical="center"/>
    </xf>
    <xf numFmtId="0" fontId="2" fillId="0" borderId="24" xfId="2" applyFont="1" applyBorder="1" applyAlignment="1">
      <alignment horizontal="center" vertical="center"/>
    </xf>
    <xf numFmtId="0" fontId="2" fillId="0" borderId="0" xfId="2" applyFont="1" applyAlignment="1">
      <alignment horizontal="center" vertical="center"/>
    </xf>
    <xf numFmtId="0" fontId="2" fillId="0" borderId="11" xfId="2" applyFont="1" applyBorder="1" applyAlignment="1">
      <alignment horizontal="center" vertical="center"/>
    </xf>
    <xf numFmtId="0" fontId="8" fillId="0" borderId="38" xfId="2" applyFont="1" applyBorder="1" applyAlignment="1">
      <alignment horizontal="center" vertical="top"/>
    </xf>
    <xf numFmtId="0" fontId="8" fillId="0" borderId="28" xfId="2" applyFont="1" applyBorder="1" applyAlignment="1">
      <alignment horizontal="center" vertical="top"/>
    </xf>
    <xf numFmtId="0" fontId="2" fillId="0" borderId="38" xfId="2" applyFont="1" applyBorder="1" applyAlignment="1">
      <alignment horizontal="right"/>
    </xf>
    <xf numFmtId="0" fontId="2" fillId="0" borderId="28" xfId="2" applyFont="1" applyBorder="1" applyAlignment="1">
      <alignment horizontal="right"/>
    </xf>
    <xf numFmtId="0" fontId="2" fillId="0" borderId="34" xfId="2" applyFont="1" applyBorder="1" applyAlignment="1">
      <alignment horizontal="center"/>
    </xf>
    <xf numFmtId="0" fontId="2" fillId="0" borderId="42" xfId="2" applyFont="1" applyBorder="1" applyAlignment="1">
      <alignment horizontal="center"/>
    </xf>
    <xf numFmtId="0" fontId="2" fillId="0" borderId="28" xfId="2" applyFont="1" applyBorder="1" applyAlignment="1">
      <alignment horizontal="center" vertical="center"/>
    </xf>
    <xf numFmtId="168" fontId="3" fillId="0" borderId="34" xfId="2" applyNumberFormat="1" applyFont="1" applyBorder="1" applyAlignment="1">
      <alignment horizontal="center" vertical="center"/>
    </xf>
    <xf numFmtId="168" fontId="3" fillId="0" borderId="42" xfId="2" applyNumberFormat="1" applyFont="1" applyBorder="1" applyAlignment="1">
      <alignment horizontal="center" vertical="center"/>
    </xf>
    <xf numFmtId="168" fontId="3" fillId="0" borderId="35" xfId="2" applyNumberFormat="1" applyFont="1" applyBorder="1" applyAlignment="1">
      <alignment horizontal="center" vertical="center"/>
    </xf>
    <xf numFmtId="168" fontId="3" fillId="0" borderId="24" xfId="2" applyNumberFormat="1" applyFont="1" applyBorder="1" applyAlignment="1">
      <alignment horizontal="center" vertical="center"/>
    </xf>
    <xf numFmtId="168" fontId="3" fillId="0" borderId="0" xfId="2" applyNumberFormat="1" applyFont="1" applyAlignment="1">
      <alignment horizontal="center" vertical="center"/>
    </xf>
    <xf numFmtId="168" fontId="3" fillId="0" borderId="20" xfId="2" applyNumberFormat="1" applyFont="1" applyBorder="1" applyAlignment="1">
      <alignment horizontal="center" vertical="center"/>
    </xf>
    <xf numFmtId="168" fontId="3" fillId="0" borderId="38" xfId="2" applyNumberFormat="1" applyFont="1" applyBorder="1" applyAlignment="1">
      <alignment horizontal="center" vertical="center"/>
    </xf>
    <xf numFmtId="168" fontId="3" fillId="0" borderId="28" xfId="2" applyNumberFormat="1" applyFont="1" applyBorder="1" applyAlignment="1">
      <alignment horizontal="center" vertical="center"/>
    </xf>
    <xf numFmtId="168" fontId="3" fillId="0" borderId="29" xfId="2" applyNumberFormat="1" applyFont="1" applyBorder="1" applyAlignment="1">
      <alignment horizontal="center" vertical="center"/>
    </xf>
    <xf numFmtId="0" fontId="8" fillId="0" borderId="24" xfId="2" applyFont="1" applyBorder="1" applyAlignment="1">
      <alignment horizontal="center" vertical="top"/>
    </xf>
    <xf numFmtId="0" fontId="8" fillId="0" borderId="0" xfId="2" applyFont="1" applyAlignment="1">
      <alignment horizontal="center" vertical="top"/>
    </xf>
    <xf numFmtId="0" fontId="2" fillId="0" borderId="11" xfId="2" applyFont="1" applyBorder="1" applyAlignment="1">
      <alignment horizontal="center"/>
    </xf>
    <xf numFmtId="1" fontId="3" fillId="0" borderId="34" xfId="2" applyNumberFormat="1" applyFont="1" applyBorder="1" applyAlignment="1">
      <alignment horizontal="center" vertical="center"/>
    </xf>
    <xf numFmtId="1" fontId="3" fillId="0" borderId="35" xfId="2" applyNumberFormat="1" applyFont="1" applyBorder="1" applyAlignment="1">
      <alignment horizontal="center" vertical="center"/>
    </xf>
    <xf numFmtId="1" fontId="3" fillId="0" borderId="38" xfId="2" applyNumberFormat="1" applyFont="1" applyBorder="1" applyAlignment="1">
      <alignment horizontal="center" vertical="center"/>
    </xf>
    <xf numFmtId="1" fontId="3" fillId="0" borderId="29" xfId="2" applyNumberFormat="1" applyFont="1" applyBorder="1" applyAlignment="1">
      <alignment horizontal="center" vertical="center"/>
    </xf>
    <xf numFmtId="0" fontId="2" fillId="0" borderId="28" xfId="2" applyFont="1" applyBorder="1" applyAlignment="1">
      <alignment horizontal="center"/>
    </xf>
    <xf numFmtId="0" fontId="17" fillId="0" borderId="0" xfId="0" applyFont="1" applyAlignment="1">
      <alignment vertical="center"/>
    </xf>
    <xf numFmtId="0" fontId="14" fillId="0" borderId="0" xfId="0" applyFont="1" applyAlignment="1">
      <alignment vertical="center"/>
    </xf>
    <xf numFmtId="0" fontId="16" fillId="0" borderId="0" xfId="0" applyFont="1" applyAlignment="1">
      <alignment horizontal="left" vertical="center" wrapText="1"/>
    </xf>
    <xf numFmtId="0" fontId="86" fillId="0" borderId="0" xfId="0" applyFont="1" applyAlignment="1">
      <alignment vertical="center"/>
    </xf>
    <xf numFmtId="0" fontId="16" fillId="0" borderId="0" xfId="0" applyFont="1" applyAlignment="1">
      <alignment horizontal="left" vertical="center"/>
    </xf>
    <xf numFmtId="164" fontId="14" fillId="8" borderId="30" xfId="0" applyNumberFormat="1" applyFont="1" applyFill="1" applyBorder="1" applyAlignment="1">
      <alignment horizontal="center" vertical="center"/>
    </xf>
    <xf numFmtId="164" fontId="14" fillId="8" borderId="32" xfId="0" applyNumberFormat="1" applyFont="1" applyFill="1" applyBorder="1" applyAlignment="1">
      <alignment horizontal="center" vertical="center"/>
    </xf>
    <xf numFmtId="164" fontId="14" fillId="8" borderId="31" xfId="0" applyNumberFormat="1" applyFont="1" applyFill="1" applyBorder="1" applyAlignment="1">
      <alignment horizontal="center" vertical="center"/>
    </xf>
    <xf numFmtId="164" fontId="14" fillId="0" borderId="0" xfId="0" applyNumberFormat="1" applyFont="1" applyAlignment="1">
      <alignment vertical="center"/>
    </xf>
    <xf numFmtId="164" fontId="14" fillId="0" borderId="30" xfId="0" applyNumberFormat="1" applyFont="1" applyBorder="1" applyAlignment="1">
      <alignment vertical="center"/>
    </xf>
    <xf numFmtId="0" fontId="0" fillId="0" borderId="32" xfId="0" applyBorder="1" applyAlignment="1">
      <alignment horizontal="left" vertical="center"/>
    </xf>
    <xf numFmtId="0" fontId="0" fillId="0" borderId="31" xfId="0" applyBorder="1" applyAlignment="1">
      <alignment horizontal="left" vertical="center"/>
    </xf>
    <xf numFmtId="164" fontId="14" fillId="0" borderId="0" xfId="0" applyNumberFormat="1" applyFont="1" applyAlignment="1">
      <alignment horizontal="center" vertical="center"/>
    </xf>
    <xf numFmtId="0" fontId="26" fillId="0" borderId="0" xfId="0" applyFont="1" applyAlignment="1">
      <alignment horizontal="left" vertical="center"/>
    </xf>
    <xf numFmtId="0" fontId="13" fillId="0" borderId="0" xfId="0" applyFont="1" applyAlignment="1">
      <alignment vertical="center"/>
    </xf>
    <xf numFmtId="0" fontId="13" fillId="0" borderId="0" xfId="0" applyFont="1"/>
    <xf numFmtId="14" fontId="15" fillId="0" borderId="0" xfId="0" applyNumberFormat="1" applyFont="1" applyAlignment="1">
      <alignment horizontal="left" vertical="center"/>
    </xf>
    <xf numFmtId="0" fontId="0" fillId="0" borderId="0" xfId="0" applyAlignment="1">
      <alignment horizontal="left" vertical="center" wrapText="1"/>
    </xf>
    <xf numFmtId="14" fontId="87" fillId="0" borderId="0" xfId="0" applyNumberFormat="1" applyFont="1" applyAlignment="1">
      <alignment horizontal="left" vertical="center"/>
    </xf>
    <xf numFmtId="0" fontId="13" fillId="8" borderId="32" xfId="0" applyFont="1" applyFill="1" applyBorder="1" applyAlignment="1">
      <alignment vertical="center"/>
    </xf>
    <xf numFmtId="0" fontId="0" fillId="0" borderId="32" xfId="0" applyBorder="1" applyAlignment="1">
      <alignment vertical="center"/>
    </xf>
    <xf numFmtId="0" fontId="13" fillId="8" borderId="28" xfId="0" applyFont="1" applyFill="1" applyBorder="1" applyAlignment="1">
      <alignment vertical="center"/>
    </xf>
    <xf numFmtId="0" fontId="0" fillId="0" borderId="28" xfId="0" applyBorder="1" applyAlignment="1">
      <alignment vertical="center"/>
    </xf>
    <xf numFmtId="0" fontId="0" fillId="0" borderId="42" xfId="0" applyBorder="1" applyAlignment="1">
      <alignment horizontal="left" vertical="center" wrapText="1"/>
    </xf>
    <xf numFmtId="14" fontId="15" fillId="0" borderId="0" xfId="0" applyNumberFormat="1" applyFont="1" applyAlignment="1">
      <alignment horizontal="left" vertical="center" wrapText="1"/>
    </xf>
    <xf numFmtId="10" fontId="0" fillId="0" borderId="0" xfId="0" applyNumberFormat="1" applyAlignment="1">
      <alignment horizontal="left" vertical="center"/>
    </xf>
    <xf numFmtId="10" fontId="15" fillId="0" borderId="0" xfId="0" applyNumberFormat="1" applyFont="1" applyAlignment="1">
      <alignment horizontal="left" vertical="center"/>
    </xf>
    <xf numFmtId="14" fontId="89" fillId="0" borderId="0" xfId="0" applyNumberFormat="1" applyFont="1" applyAlignment="1">
      <alignment horizontal="left" vertical="center"/>
    </xf>
    <xf numFmtId="0" fontId="26" fillId="11" borderId="30" xfId="0" applyFont="1" applyFill="1" applyBorder="1" applyAlignment="1">
      <alignment horizontal="left" vertical="center"/>
    </xf>
    <xf numFmtId="0" fontId="26" fillId="11" borderId="32" xfId="0" applyFont="1" applyFill="1" applyBorder="1" applyAlignment="1">
      <alignment horizontal="left" vertical="center"/>
    </xf>
    <xf numFmtId="0" fontId="24" fillId="11" borderId="32" xfId="0" applyFont="1" applyFill="1" applyBorder="1" applyAlignment="1">
      <alignment horizontal="right" vertical="center"/>
    </xf>
    <xf numFmtId="0" fontId="24" fillId="11" borderId="31" xfId="0" applyFont="1" applyFill="1" applyBorder="1" applyAlignment="1">
      <alignment horizontal="right" vertical="center"/>
    </xf>
    <xf numFmtId="0" fontId="26" fillId="11" borderId="31" xfId="0" applyFont="1" applyFill="1" applyBorder="1" applyAlignment="1">
      <alignment horizontal="left" vertical="center"/>
    </xf>
    <xf numFmtId="0" fontId="13" fillId="12" borderId="30" xfId="0" applyFont="1" applyFill="1" applyBorder="1" applyAlignment="1">
      <alignment vertical="center"/>
    </xf>
    <xf numFmtId="0" fontId="13" fillId="12" borderId="32" xfId="0" applyFont="1" applyFill="1" applyBorder="1" applyAlignment="1">
      <alignment vertical="center"/>
    </xf>
    <xf numFmtId="0" fontId="13" fillId="12" borderId="31" xfId="0" applyFont="1" applyFill="1" applyBorder="1" applyAlignment="1">
      <alignment vertical="center"/>
    </xf>
    <xf numFmtId="0" fontId="0" fillId="8" borderId="28" xfId="0" applyFill="1" applyBorder="1" applyAlignment="1">
      <alignment vertical="center"/>
    </xf>
    <xf numFmtId="0" fontId="90" fillId="0" borderId="34" xfId="0" applyFont="1" applyBorder="1" applyAlignment="1">
      <alignment horizontal="left" vertical="center"/>
    </xf>
    <xf numFmtId="0" fontId="90" fillId="0" borderId="42" xfId="0" applyFont="1" applyBorder="1" applyAlignment="1">
      <alignment horizontal="left" vertical="center"/>
    </xf>
    <xf numFmtId="0" fontId="90" fillId="0" borderId="35" xfId="0" applyFont="1" applyBorder="1" applyAlignment="1">
      <alignment horizontal="left" vertical="center"/>
    </xf>
    <xf numFmtId="0" fontId="24" fillId="0" borderId="78" xfId="0" applyFont="1" applyBorder="1" applyAlignment="1">
      <alignment horizontal="left" vertical="center"/>
    </xf>
    <xf numFmtId="14" fontId="26" fillId="0" borderId="79" xfId="0" applyNumberFormat="1" applyFont="1" applyBorder="1" applyAlignment="1">
      <alignment horizontal="left" vertical="center"/>
    </xf>
    <xf numFmtId="0" fontId="26" fillId="0" borderId="79" xfId="0" applyFont="1" applyBorder="1" applyAlignment="1">
      <alignment horizontal="left" vertical="center"/>
    </xf>
    <xf numFmtId="0" fontId="24" fillId="0" borderId="79" xfId="0" applyFont="1" applyBorder="1" applyAlignment="1">
      <alignment horizontal="right" vertical="center"/>
    </xf>
    <xf numFmtId="0" fontId="24" fillId="0" borderId="80" xfId="0" applyFont="1" applyBorder="1" applyAlignment="1">
      <alignment horizontal="right" vertical="center"/>
    </xf>
    <xf numFmtId="0" fontId="24" fillId="0" borderId="81" xfId="0" applyFont="1" applyBorder="1" applyAlignment="1">
      <alignment horizontal="left" vertical="center"/>
    </xf>
    <xf numFmtId="0" fontId="90" fillId="0" borderId="82" xfId="0" applyFont="1" applyBorder="1" applyAlignment="1">
      <alignment horizontal="left" vertical="center"/>
    </xf>
    <xf numFmtId="0" fontId="90" fillId="0" borderId="83" xfId="0" applyFont="1" applyBorder="1" applyAlignment="1">
      <alignment horizontal="left" vertical="center"/>
    </xf>
    <xf numFmtId="14" fontId="26" fillId="8" borderId="64" xfId="0" applyNumberFormat="1" applyFont="1" applyFill="1" applyBorder="1" applyAlignment="1" applyProtection="1">
      <alignment horizontal="left"/>
      <protection locked="0"/>
    </xf>
    <xf numFmtId="14" fontId="26" fillId="8" borderId="6" xfId="0" applyNumberFormat="1" applyFont="1" applyFill="1" applyBorder="1" applyAlignment="1" applyProtection="1">
      <alignment horizontal="left"/>
      <protection locked="0"/>
    </xf>
    <xf numFmtId="0" fontId="24" fillId="8" borderId="68" xfId="0" applyFont="1" applyFill="1" applyBorder="1" applyAlignment="1">
      <alignment horizontal="center"/>
    </xf>
    <xf numFmtId="0" fontId="24" fillId="8" borderId="64" xfId="0" applyFont="1" applyFill="1" applyBorder="1" applyAlignment="1">
      <alignment horizontal="center"/>
    </xf>
    <xf numFmtId="0" fontId="24" fillId="8" borderId="69" xfId="0" applyFont="1" applyFill="1" applyBorder="1" applyAlignment="1">
      <alignment horizontal="center"/>
    </xf>
    <xf numFmtId="0" fontId="24" fillId="8" borderId="6" xfId="0" applyFont="1" applyFill="1" applyBorder="1" applyAlignment="1">
      <alignment horizontal="center"/>
    </xf>
    <xf numFmtId="0" fontId="26" fillId="8" borderId="84" xfId="0" applyFont="1" applyFill="1" applyBorder="1" applyAlignment="1" applyProtection="1">
      <alignment horizontal="left"/>
      <protection locked="0"/>
    </xf>
    <xf numFmtId="0" fontId="24" fillId="8" borderId="59" xfId="0" applyFont="1" applyFill="1" applyBorder="1" applyAlignment="1">
      <alignment horizontal="center"/>
    </xf>
    <xf numFmtId="0" fontId="24" fillId="8" borderId="53" xfId="0" applyFont="1" applyFill="1" applyBorder="1" applyAlignment="1">
      <alignment horizontal="center"/>
    </xf>
    <xf numFmtId="0" fontId="26" fillId="8" borderId="85" xfId="0" applyFont="1" applyFill="1" applyBorder="1" applyAlignment="1" applyProtection="1">
      <alignment horizontal="left"/>
      <protection locked="0"/>
    </xf>
    <xf numFmtId="0" fontId="26" fillId="8" borderId="51" xfId="0" applyFont="1" applyFill="1" applyBorder="1" applyAlignment="1" applyProtection="1">
      <alignment horizontal="left"/>
      <protection locked="0"/>
    </xf>
    <xf numFmtId="0" fontId="24" fillId="8" borderId="52" xfId="0" applyFont="1" applyFill="1" applyBorder="1" applyAlignment="1">
      <alignment horizontal="center"/>
    </xf>
    <xf numFmtId="0" fontId="26" fillId="8" borderId="15" xfId="0" applyFont="1" applyFill="1" applyBorder="1" applyAlignment="1" applyProtection="1">
      <alignment horizontal="left"/>
      <protection locked="0"/>
    </xf>
    <xf numFmtId="18" fontId="0" fillId="0" borderId="0" xfId="0" applyNumberFormat="1"/>
    <xf numFmtId="0" fontId="26" fillId="0" borderId="0" xfId="0" applyFont="1" applyAlignment="1" applyProtection="1">
      <alignment horizontal="left"/>
      <protection locked="0"/>
    </xf>
    <xf numFmtId="0" fontId="24" fillId="3" borderId="1" xfId="0" applyFont="1" applyFill="1" applyBorder="1" applyAlignment="1">
      <alignment horizontal="center"/>
    </xf>
    <xf numFmtId="0" fontId="24" fillId="3" borderId="2" xfId="0" applyFont="1" applyFill="1" applyBorder="1" applyAlignment="1">
      <alignment horizontal="center"/>
    </xf>
    <xf numFmtId="0" fontId="24" fillId="3" borderId="18" xfId="0" applyFont="1" applyFill="1" applyBorder="1" applyAlignment="1">
      <alignment horizontal="center"/>
    </xf>
    <xf numFmtId="0" fontId="24" fillId="3" borderId="6" xfId="0" applyFont="1" applyFill="1" applyBorder="1" applyAlignment="1">
      <alignment horizontal="center"/>
    </xf>
    <xf numFmtId="0" fontId="24" fillId="3" borderId="7" xfId="0" applyFont="1" applyFill="1" applyBorder="1" applyAlignment="1">
      <alignment horizontal="center"/>
    </xf>
    <xf numFmtId="0" fontId="24" fillId="3" borderId="23" xfId="0" applyFont="1" applyFill="1" applyBorder="1" applyAlignment="1">
      <alignment horizontal="center"/>
    </xf>
    <xf numFmtId="0" fontId="27" fillId="13" borderId="66" xfId="0" applyFont="1" applyFill="1" applyBorder="1" applyAlignment="1">
      <alignment horizontal="center"/>
    </xf>
    <xf numFmtId="0" fontId="27" fillId="13" borderId="2" xfId="0" applyFont="1" applyFill="1" applyBorder="1" applyAlignment="1">
      <alignment horizontal="center"/>
    </xf>
    <xf numFmtId="0" fontId="27" fillId="13" borderId="18" xfId="0" applyFont="1" applyFill="1" applyBorder="1" applyAlignment="1">
      <alignment horizontal="center"/>
    </xf>
    <xf numFmtId="0" fontId="27" fillId="13" borderId="14" xfId="0" applyFont="1" applyFill="1" applyBorder="1" applyAlignment="1">
      <alignment horizontal="center"/>
    </xf>
    <xf numFmtId="0" fontId="27" fillId="13" borderId="53" xfId="0" applyFont="1" applyFill="1" applyBorder="1" applyAlignment="1">
      <alignment horizontal="center"/>
    </xf>
    <xf numFmtId="0" fontId="27" fillId="13" borderId="53" xfId="0" applyFont="1" applyFill="1" applyBorder="1" applyAlignment="1" applyProtection="1">
      <alignment horizontal="center"/>
      <protection locked="0"/>
    </xf>
    <xf numFmtId="0" fontId="27" fillId="13" borderId="60" xfId="0" applyFont="1" applyFill="1" applyBorder="1" applyAlignment="1">
      <alignment horizontal="center"/>
    </xf>
    <xf numFmtId="0" fontId="27" fillId="0" borderId="66" xfId="0" applyFont="1" applyBorder="1" applyAlignment="1">
      <alignment horizontal="center"/>
    </xf>
    <xf numFmtId="0" fontId="24" fillId="8" borderId="22" xfId="0" applyFont="1" applyFill="1" applyBorder="1" applyAlignment="1">
      <alignment horizontal="center"/>
    </xf>
    <xf numFmtId="0" fontId="24" fillId="8" borderId="1" xfId="0" applyFont="1" applyFill="1" applyBorder="1" applyAlignment="1" applyProtection="1">
      <alignment horizontal="center"/>
      <protection locked="0"/>
    </xf>
    <xf numFmtId="168" fontId="24" fillId="8" borderId="1" xfId="0" applyNumberFormat="1" applyFont="1" applyFill="1" applyBorder="1" applyAlignment="1" applyProtection="1">
      <alignment horizontal="center"/>
      <protection locked="0"/>
    </xf>
    <xf numFmtId="168" fontId="27" fillId="3" borderId="52" xfId="0" applyNumberFormat="1" applyFont="1" applyFill="1" applyBorder="1" applyAlignment="1">
      <alignment horizontal="center"/>
    </xf>
    <xf numFmtId="0" fontId="24" fillId="8" borderId="69" xfId="0" applyFont="1" applyFill="1" applyBorder="1" applyAlignment="1" applyProtection="1">
      <alignment horizontal="center"/>
      <protection locked="0"/>
    </xf>
    <xf numFmtId="0" fontId="24" fillId="8" borderId="52" xfId="0" applyFont="1" applyFill="1" applyBorder="1" applyAlignment="1">
      <alignment horizontal="center"/>
    </xf>
    <xf numFmtId="0" fontId="24" fillId="8" borderId="53" xfId="0" applyFont="1" applyFill="1" applyBorder="1" applyAlignment="1" applyProtection="1">
      <alignment horizontal="center"/>
      <protection locked="0"/>
    </xf>
    <xf numFmtId="168" fontId="24" fillId="8" borderId="53" xfId="0" applyNumberFormat="1" applyFont="1" applyFill="1" applyBorder="1" applyAlignment="1" applyProtection="1">
      <alignment horizontal="center"/>
      <protection locked="0"/>
    </xf>
    <xf numFmtId="0" fontId="29" fillId="8" borderId="24" xfId="0" applyFont="1" applyFill="1" applyBorder="1" applyAlignment="1" applyProtection="1">
      <alignment vertical="top" wrapText="1"/>
      <protection locked="0"/>
    </xf>
    <xf numFmtId="0" fontId="29" fillId="8" borderId="0" xfId="0" applyFont="1" applyFill="1" applyAlignment="1" applyProtection="1">
      <alignment vertical="top" wrapText="1"/>
      <protection locked="0"/>
    </xf>
    <xf numFmtId="0" fontId="29" fillId="8" borderId="20" xfId="0" applyFont="1" applyFill="1" applyBorder="1" applyAlignment="1" applyProtection="1">
      <alignment vertical="top" wrapText="1"/>
      <protection locked="0"/>
    </xf>
    <xf numFmtId="0" fontId="29" fillId="8" borderId="19" xfId="0" applyFont="1" applyFill="1" applyBorder="1" applyAlignment="1" applyProtection="1">
      <alignment vertical="top" wrapText="1"/>
      <protection locked="0"/>
    </xf>
    <xf numFmtId="0" fontId="29" fillId="8" borderId="7" xfId="0" applyFont="1" applyFill="1" applyBorder="1" applyAlignment="1" applyProtection="1">
      <alignment vertical="top" wrapText="1"/>
      <protection locked="0"/>
    </xf>
    <xf numFmtId="0" fontId="29" fillId="8" borderId="23" xfId="0" applyFont="1" applyFill="1" applyBorder="1" applyAlignment="1" applyProtection="1">
      <alignment vertical="top" wrapText="1"/>
      <protection locked="0"/>
    </xf>
    <xf numFmtId="0" fontId="27" fillId="0" borderId="1" xfId="0" applyFont="1" applyBorder="1"/>
    <xf numFmtId="0" fontId="27" fillId="0" borderId="2" xfId="0" applyFont="1" applyBorder="1"/>
    <xf numFmtId="0" fontId="27" fillId="0" borderId="3" xfId="0" applyFont="1" applyBorder="1"/>
    <xf numFmtId="0" fontId="27" fillId="0" borderId="17" xfId="0" applyFont="1" applyBorder="1" applyAlignment="1">
      <alignment horizontal="left"/>
    </xf>
    <xf numFmtId="0" fontId="27" fillId="0" borderId="86" xfId="0" applyFont="1" applyBorder="1" applyAlignment="1">
      <alignment horizontal="left"/>
    </xf>
    <xf numFmtId="0" fontId="92" fillId="8" borderId="6" xfId="0" applyFont="1" applyFill="1" applyBorder="1" applyAlignment="1" applyProtection="1">
      <alignment horizontal="left"/>
      <protection locked="0"/>
    </xf>
    <xf numFmtId="0" fontId="92" fillId="8" borderId="7" xfId="0" applyFont="1" applyFill="1" applyBorder="1" applyAlignment="1" applyProtection="1">
      <alignment horizontal="left"/>
      <protection locked="0"/>
    </xf>
    <xf numFmtId="0" fontId="92" fillId="8" borderId="8" xfId="0" applyFont="1" applyFill="1" applyBorder="1" applyAlignment="1" applyProtection="1">
      <alignment horizontal="left"/>
      <protection locked="0"/>
    </xf>
    <xf numFmtId="0" fontId="26" fillId="8" borderId="69" xfId="0" applyFont="1" applyFill="1" applyBorder="1" applyAlignment="1" applyProtection="1">
      <alignment horizontal="left"/>
      <protection locked="0"/>
    </xf>
    <xf numFmtId="0" fontId="26" fillId="8" borderId="20" xfId="0" applyFont="1" applyFill="1" applyBorder="1" applyAlignment="1" applyProtection="1">
      <alignment horizontal="left"/>
      <protection locked="0"/>
    </xf>
    <xf numFmtId="0" fontId="27" fillId="0" borderId="24" xfId="0" applyFont="1" applyBorder="1" applyAlignment="1">
      <alignment horizontal="left"/>
    </xf>
    <xf numFmtId="0" fontId="27" fillId="0" borderId="4" xfId="0" applyFont="1" applyBorder="1"/>
    <xf numFmtId="0" fontId="27" fillId="0" borderId="0" xfId="0" applyFont="1"/>
    <xf numFmtId="0" fontId="27" fillId="0" borderId="5" xfId="0" applyFont="1" applyBorder="1"/>
    <xf numFmtId="0" fontId="27" fillId="0" borderId="17" xfId="0" applyFont="1" applyBorder="1" applyAlignment="1">
      <alignment horizontal="left"/>
    </xf>
    <xf numFmtId="0" fontId="27" fillId="0" borderId="86" xfId="0" applyFont="1" applyBorder="1" applyAlignment="1">
      <alignment horizontal="left"/>
    </xf>
    <xf numFmtId="0" fontId="92" fillId="8" borderId="27" xfId="0" applyFont="1" applyFill="1" applyBorder="1" applyAlignment="1" applyProtection="1">
      <alignment horizontal="left"/>
      <protection locked="0"/>
    </xf>
    <xf numFmtId="0" fontId="92" fillId="8" borderId="28" xfId="0" applyFont="1" applyFill="1" applyBorder="1" applyAlignment="1" applyProtection="1">
      <alignment horizontal="left"/>
      <protection locked="0"/>
    </xf>
    <xf numFmtId="0" fontId="92" fillId="8" borderId="67" xfId="0" applyFont="1" applyFill="1" applyBorder="1" applyAlignment="1" applyProtection="1">
      <alignment horizontal="left"/>
      <protection locked="0"/>
    </xf>
    <xf numFmtId="0" fontId="26" fillId="8" borderId="29" xfId="0" applyFont="1" applyFill="1" applyBorder="1" applyAlignment="1" applyProtection="1">
      <alignment horizontal="left"/>
      <protection locked="0"/>
    </xf>
  </cellXfs>
  <cellStyles count="5">
    <cellStyle name="Hyperlink" xfId="4" builtinId="8"/>
    <cellStyle name="Normal" xfId="0" builtinId="0"/>
    <cellStyle name="Normal 2" xfId="1" xr:uid="{834D8F40-8509-4101-A8C6-26EB970D3611}"/>
    <cellStyle name="Normal 3" xfId="2" xr:uid="{82C17168-A57E-4F12-9CB7-9B995A3A0911}"/>
    <cellStyle name="Percent" xfId="3" builtinId="5"/>
  </cellStyles>
  <dxfs count="137">
    <dxf>
      <fill>
        <patternFill>
          <bgColor rgb="FF90EE90"/>
        </patternFill>
      </fill>
    </dxf>
    <dxf>
      <fill>
        <patternFill>
          <bgColor rgb="FFFF0000"/>
        </patternFill>
      </fill>
    </dxf>
    <dxf>
      <fill>
        <patternFill>
          <bgColor rgb="FFFF7200"/>
        </patternFill>
      </fill>
    </dxf>
    <dxf>
      <fill>
        <patternFill>
          <bgColor rgb="FFFF730E"/>
        </patternFill>
      </fill>
    </dxf>
    <dxf>
      <fill>
        <patternFill>
          <bgColor rgb="FFFF0000"/>
        </patternFill>
      </fill>
    </dxf>
    <dxf>
      <font>
        <color theme="0"/>
      </font>
      <fill>
        <patternFill>
          <bgColor rgb="FFC4012F"/>
        </patternFill>
      </fill>
    </dxf>
    <dxf>
      <fill>
        <patternFill>
          <bgColor rgb="FFFF730E"/>
        </patternFill>
      </fill>
    </dxf>
    <dxf>
      <fill>
        <patternFill>
          <bgColor rgb="FFFF730E"/>
        </patternFill>
      </fill>
    </dxf>
    <dxf>
      <fill>
        <patternFill>
          <bgColor rgb="FFFF0000"/>
        </patternFill>
      </fill>
    </dxf>
    <dxf>
      <fill>
        <patternFill>
          <bgColor rgb="FF90EE90"/>
        </patternFill>
      </fill>
    </dxf>
    <dxf>
      <fill>
        <patternFill>
          <bgColor rgb="FFFF0000"/>
        </patternFill>
      </fill>
    </dxf>
    <dxf>
      <fill>
        <patternFill>
          <bgColor rgb="FFFF0000"/>
        </patternFill>
      </fill>
    </dxf>
    <dxf>
      <fill>
        <patternFill>
          <bgColor rgb="FFFF730E"/>
        </patternFill>
      </fill>
    </dxf>
    <dxf>
      <fill>
        <patternFill>
          <bgColor rgb="FFFF730E"/>
        </patternFill>
      </fill>
    </dxf>
    <dxf>
      <fill>
        <patternFill>
          <bgColor rgb="FF90EE90"/>
        </patternFill>
      </fill>
    </dxf>
    <dxf>
      <font>
        <strike val="0"/>
      </font>
      <fill>
        <patternFill>
          <bgColor rgb="FFFF0000"/>
        </patternFill>
      </fill>
    </dxf>
    <dxf>
      <fill>
        <patternFill>
          <bgColor rgb="FF90EE90"/>
        </patternFill>
      </fill>
    </dxf>
    <dxf>
      <font>
        <strike val="0"/>
      </font>
      <fill>
        <patternFill>
          <bgColor rgb="FFFF0000"/>
        </patternFill>
      </fill>
    </dxf>
    <dxf>
      <fill>
        <patternFill>
          <bgColor rgb="FFC00000"/>
        </patternFill>
      </fill>
    </dxf>
    <dxf>
      <fill>
        <patternFill>
          <bgColor rgb="FFC00000"/>
        </patternFill>
      </fill>
    </dxf>
    <dxf>
      <fill>
        <patternFill>
          <bgColor rgb="FF90EE90"/>
        </patternFill>
      </fill>
    </dxf>
    <dxf>
      <fill>
        <patternFill>
          <bgColor rgb="FF90EE90"/>
        </patternFill>
      </fill>
    </dxf>
    <dxf>
      <font>
        <strike val="0"/>
      </font>
      <fill>
        <patternFill>
          <bgColor rgb="FFFF0000"/>
        </patternFill>
      </fill>
    </dxf>
    <dxf>
      <fill>
        <patternFill>
          <bgColor rgb="FFFF7C19"/>
        </patternFill>
      </fill>
    </dxf>
    <dxf>
      <fill>
        <patternFill>
          <bgColor rgb="FFC5050C"/>
        </patternFill>
      </fill>
    </dxf>
    <dxf>
      <fill>
        <patternFill>
          <bgColor rgb="FF90EE90"/>
        </patternFill>
      </fill>
    </dxf>
    <dxf>
      <fill>
        <patternFill>
          <bgColor rgb="FFFF0000"/>
        </patternFill>
      </fill>
    </dxf>
    <dxf>
      <fill>
        <patternFill>
          <bgColor rgb="FFFFFF00"/>
        </patternFill>
      </fill>
    </dxf>
    <dxf>
      <fill>
        <patternFill>
          <bgColor rgb="FFC00000"/>
        </patternFill>
      </fill>
    </dxf>
    <dxf>
      <fill>
        <patternFill>
          <bgColor rgb="FFFF0000"/>
        </patternFill>
      </fill>
    </dxf>
    <dxf>
      <fill>
        <patternFill>
          <bgColor rgb="FFFF7C19"/>
        </patternFill>
      </fill>
    </dxf>
    <dxf>
      <fill>
        <patternFill>
          <bgColor rgb="FFFF0000"/>
        </patternFill>
      </fill>
    </dxf>
    <dxf>
      <fill>
        <patternFill>
          <bgColor rgb="FF90EE90"/>
        </patternFill>
      </fill>
    </dxf>
    <dxf>
      <fill>
        <patternFill>
          <bgColor rgb="FFC00000"/>
        </patternFill>
      </fill>
    </dxf>
    <dxf>
      <fill>
        <patternFill>
          <bgColor rgb="FFFF7200"/>
        </patternFill>
      </fill>
    </dxf>
    <dxf>
      <fill>
        <patternFill>
          <bgColor rgb="FFFF730E"/>
        </patternFill>
      </fill>
    </dxf>
    <dxf>
      <fill>
        <patternFill>
          <bgColor rgb="FFC00000"/>
        </patternFill>
      </fill>
    </dxf>
    <dxf>
      <fill>
        <patternFill>
          <bgColor rgb="FFFF730E"/>
        </patternFill>
      </fill>
    </dxf>
    <dxf>
      <fill>
        <patternFill>
          <bgColor rgb="FFC00000"/>
        </patternFill>
      </fill>
    </dxf>
    <dxf>
      <font>
        <color theme="0"/>
      </font>
      <fill>
        <patternFill>
          <bgColor rgb="FFC4012F"/>
        </patternFill>
      </fill>
    </dxf>
    <dxf>
      <fill>
        <patternFill>
          <bgColor rgb="FFC00000"/>
        </patternFill>
      </fill>
    </dxf>
    <dxf>
      <fill>
        <patternFill>
          <bgColor rgb="FFFF0000"/>
        </patternFill>
      </fill>
    </dxf>
    <dxf>
      <fill>
        <patternFill>
          <bgColor rgb="FFFF7C19"/>
        </patternFill>
      </fill>
    </dxf>
    <dxf>
      <fill>
        <patternFill>
          <bgColor rgb="FFC00000"/>
        </patternFill>
      </fill>
    </dxf>
    <dxf>
      <fill>
        <patternFill>
          <bgColor rgb="FFFF0000"/>
        </patternFill>
      </fill>
    </dxf>
    <dxf>
      <fill>
        <patternFill>
          <bgColor rgb="FFFF730E"/>
        </patternFill>
      </fill>
    </dxf>
    <dxf>
      <fill>
        <patternFill>
          <bgColor rgb="FFFFFF00"/>
        </patternFill>
      </fill>
    </dxf>
    <dxf>
      <fill>
        <patternFill>
          <bgColor rgb="FF90EE90"/>
        </patternFill>
      </fill>
    </dxf>
    <dxf>
      <fill>
        <patternFill>
          <bgColor rgb="FFC00000"/>
        </patternFill>
      </fill>
    </dxf>
    <dxf>
      <fill>
        <patternFill>
          <bgColor rgb="FFFF0000"/>
        </patternFill>
      </fill>
    </dxf>
    <dxf>
      <fill>
        <patternFill>
          <bgColor rgb="FFFF0000"/>
        </patternFill>
      </fill>
    </dxf>
    <dxf>
      <fill>
        <patternFill>
          <bgColor rgb="FFFF730E"/>
        </patternFill>
      </fill>
    </dxf>
    <dxf>
      <fill>
        <patternFill>
          <bgColor rgb="FFFFFF00"/>
        </patternFill>
      </fill>
    </dxf>
    <dxf>
      <fill>
        <patternFill>
          <bgColor rgb="FF90EE90"/>
        </patternFill>
      </fill>
    </dxf>
    <dxf>
      <fill>
        <patternFill>
          <bgColor rgb="FFFF0000"/>
        </patternFill>
      </fill>
    </dxf>
    <dxf>
      <fill>
        <patternFill>
          <bgColor rgb="FFFF7200"/>
        </patternFill>
      </fill>
    </dxf>
    <dxf>
      <fill>
        <patternFill>
          <bgColor rgb="FFFF730E"/>
        </patternFill>
      </fill>
    </dxf>
    <dxf>
      <fill>
        <patternFill>
          <bgColor rgb="FFFF0000"/>
        </patternFill>
      </fill>
    </dxf>
    <dxf>
      <fill>
        <patternFill>
          <bgColor rgb="FFFF0000"/>
        </patternFill>
      </fill>
    </dxf>
    <dxf>
      <font>
        <color theme="0"/>
      </font>
      <fill>
        <patternFill>
          <bgColor rgb="FFC4012F"/>
        </patternFill>
      </fill>
    </dxf>
    <dxf>
      <fill>
        <patternFill>
          <bgColor rgb="FF90EE90"/>
        </patternFill>
      </fill>
    </dxf>
    <dxf>
      <fill>
        <patternFill>
          <bgColor rgb="FFFFC000"/>
        </patternFill>
      </fill>
    </dxf>
    <dxf>
      <fill>
        <patternFill>
          <bgColor rgb="FFFFFF00"/>
        </patternFill>
      </fill>
    </dxf>
    <dxf>
      <fill>
        <patternFill>
          <bgColor rgb="FFC00000"/>
        </patternFill>
      </fill>
    </dxf>
    <dxf>
      <fill>
        <patternFill>
          <bgColor rgb="FFFF0000"/>
        </patternFill>
      </fill>
    </dxf>
    <dxf>
      <fill>
        <patternFill>
          <bgColor rgb="FFFF7C19"/>
        </patternFill>
      </fill>
    </dxf>
    <dxf>
      <fill>
        <patternFill>
          <bgColor rgb="FFFF0000"/>
        </patternFill>
      </fill>
    </dxf>
    <dxf>
      <fill>
        <patternFill>
          <bgColor rgb="FFFF0000"/>
        </patternFill>
      </fill>
    </dxf>
    <dxf>
      <fill>
        <patternFill>
          <bgColor rgb="FFFF730E"/>
        </patternFill>
      </fill>
    </dxf>
    <dxf>
      <fill>
        <patternFill>
          <bgColor rgb="FFFF0000"/>
        </patternFill>
      </fill>
    </dxf>
    <dxf>
      <fill>
        <patternFill>
          <bgColor rgb="FFFF730E"/>
        </patternFill>
      </fill>
    </dxf>
    <dxf>
      <fill>
        <patternFill>
          <bgColor rgb="FFFFFF00"/>
        </patternFill>
      </fill>
    </dxf>
    <dxf>
      <fill>
        <patternFill>
          <bgColor rgb="FFFFFF00"/>
        </patternFill>
      </fill>
    </dxf>
    <dxf>
      <fill>
        <patternFill>
          <bgColor rgb="FF00B050"/>
        </patternFill>
      </fill>
    </dxf>
    <dxf>
      <fill>
        <patternFill>
          <bgColor rgb="FFFF0000"/>
        </patternFill>
      </fill>
    </dxf>
    <dxf>
      <fill>
        <patternFill>
          <bgColor rgb="FFC00000"/>
        </patternFill>
      </fill>
    </dxf>
    <dxf>
      <fill>
        <patternFill>
          <bgColor rgb="FFFF0000"/>
        </patternFill>
      </fill>
    </dxf>
    <dxf>
      <fill>
        <patternFill>
          <bgColor rgb="FFFF7C19"/>
        </patternFill>
      </fill>
    </dxf>
    <dxf>
      <fill>
        <patternFill>
          <bgColor rgb="FFC00000"/>
        </patternFill>
      </fill>
    </dxf>
    <dxf>
      <fill>
        <patternFill>
          <bgColor rgb="FFFF7C19"/>
        </patternFill>
      </fill>
    </dxf>
    <dxf>
      <fill>
        <patternFill>
          <bgColor rgb="FF90EE90"/>
        </patternFill>
      </fill>
    </dxf>
    <dxf>
      <fill>
        <patternFill>
          <bgColor rgb="FFFF0000"/>
        </patternFill>
      </fill>
    </dxf>
    <dxf>
      <fill>
        <patternFill>
          <bgColor rgb="FFFF0000"/>
        </patternFill>
      </fill>
    </dxf>
    <dxf>
      <fill>
        <patternFill>
          <bgColor rgb="FFFF730E"/>
        </patternFill>
      </fill>
    </dxf>
    <dxf>
      <fill>
        <patternFill>
          <bgColor rgb="FFFF0000"/>
        </patternFill>
      </fill>
    </dxf>
    <dxf>
      <fill>
        <patternFill>
          <bgColor rgb="FFFFFF00"/>
        </patternFill>
      </fill>
    </dxf>
    <dxf>
      <fill>
        <patternFill>
          <bgColor rgb="FF90EE9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90EE90"/>
        </patternFill>
      </fill>
    </dxf>
    <dxf>
      <fill>
        <patternFill>
          <bgColor rgb="FFFF0000"/>
        </patternFill>
      </fill>
    </dxf>
    <dxf>
      <fill>
        <patternFill>
          <bgColor rgb="FFFF0000"/>
        </patternFill>
      </fill>
    </dxf>
    <dxf>
      <fill>
        <patternFill>
          <bgColor rgb="FFFF0000"/>
        </patternFill>
      </fill>
    </dxf>
    <dxf>
      <fill>
        <patternFill>
          <bgColor rgb="FF90EE9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730E"/>
        </patternFill>
      </fill>
    </dxf>
    <dxf>
      <fill>
        <patternFill>
          <bgColor rgb="FFFF0000"/>
        </patternFill>
      </fill>
    </dxf>
    <dxf>
      <fill>
        <patternFill>
          <bgColor rgb="FFFF0000"/>
        </patternFill>
      </fill>
    </dxf>
    <dxf>
      <fill>
        <patternFill>
          <bgColor rgb="FF90EE9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90EE9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0EE90"/>
        </patternFill>
      </fill>
    </dxf>
    <dxf>
      <fill>
        <patternFill>
          <bgColor rgb="FFFF0000"/>
        </patternFill>
      </fill>
    </dxf>
    <dxf>
      <fill>
        <patternFill>
          <bgColor rgb="FF90EE90"/>
        </patternFill>
      </fill>
    </dxf>
    <dxf>
      <fill>
        <patternFill>
          <bgColor rgb="FF90EE90"/>
        </patternFill>
      </fill>
    </dxf>
    <dxf>
      <fill>
        <patternFill>
          <bgColor rgb="FFFF0000"/>
        </patternFill>
      </fill>
    </dxf>
    <dxf>
      <fill>
        <patternFill>
          <bgColor rgb="FFFF0000"/>
        </patternFill>
      </fill>
    </dxf>
    <dxf>
      <fill>
        <patternFill>
          <bgColor rgb="FFFF730E"/>
        </patternFill>
      </fill>
    </dxf>
    <dxf>
      <fill>
        <patternFill>
          <bgColor rgb="FFFF730E"/>
        </patternFill>
      </fill>
    </dxf>
    <dxf>
      <fill>
        <patternFill>
          <bgColor rgb="FFFFC000"/>
        </patternFill>
      </fill>
    </dxf>
    <dxf>
      <fill>
        <patternFill>
          <bgColor rgb="FFFF730E"/>
        </patternFill>
      </fill>
    </dxf>
    <dxf>
      <fill>
        <patternFill>
          <bgColor rgb="FFFF730E"/>
        </patternFill>
      </fill>
    </dxf>
    <dxf>
      <fill>
        <patternFill>
          <bgColor rgb="FF90EE9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C4012F"/>
        </patternFill>
      </fill>
    </dxf>
  </dxfs>
  <tableStyles count="0" defaultTableStyle="TableStyleMedium2" defaultPivotStyle="PivotStyleLight16"/>
  <colors>
    <mruColors>
      <color rgb="FFF4B084"/>
      <color rgb="FFFFCC99"/>
      <color rgb="FFFFFFCC"/>
      <color rgb="FFFFCB8F"/>
      <color rgb="FFAA0000"/>
      <color rgb="FF90EE90"/>
      <color rgb="FF72EE72"/>
      <color rgb="FFFF730E"/>
      <color rgb="FFF00611"/>
      <color rgb="FFC505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Calibri" panose="020F0502020204030204" pitchFamily="34" charset="0"/>
                <a:cs typeface="Calibri" panose="020F0502020204030204" pitchFamily="34" charset="0"/>
              </a:rPr>
              <a:t>Combined Percent</a:t>
            </a:r>
            <a:r>
              <a:rPr lang="en-US" sz="1600" baseline="0">
                <a:latin typeface="Calibri" panose="020F0502020204030204" pitchFamily="34" charset="0"/>
                <a:cs typeface="Calibri" panose="020F0502020204030204" pitchFamily="34" charset="0"/>
              </a:rPr>
              <a:t> Passing</a:t>
            </a:r>
            <a:endParaRPr lang="en-US" sz="1600">
              <a:latin typeface="Calibri" panose="020F0502020204030204" pitchFamily="34" charset="0"/>
              <a:cs typeface="Calibri" panose="020F0502020204030204" pitchFamily="34" charset="0"/>
            </a:endParaRP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0"/>
          <c:order val="0"/>
          <c:tx>
            <c:v>UL Limit</c:v>
          </c:tx>
          <c:spPr>
            <a:ln>
              <a:prstDash val="dash"/>
            </a:ln>
          </c:spPr>
          <c:marker>
            <c:symbol val="none"/>
          </c:marker>
          <c:cat>
            <c:strRef>
              <c:f>'4 Mix Design'!$A$52:$A$64</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Design'!$G$52:$G$64</c:f>
              <c:numCache>
                <c:formatCode>General</c:formatCode>
                <c:ptCount val="13"/>
                <c:pt idx="0">
                  <c:v>100</c:v>
                </c:pt>
                <c:pt idx="1">
                  <c:v>100</c:v>
                </c:pt>
                <c:pt idx="2">
                  <c:v>99</c:v>
                </c:pt>
                <c:pt idx="3">
                  <c:v>96</c:v>
                </c:pt>
                <c:pt idx="4">
                  <c:v>86</c:v>
                </c:pt>
                <c:pt idx="5">
                  <c:v>77</c:v>
                </c:pt>
                <c:pt idx="6">
                  <c:v>60</c:v>
                </c:pt>
                <c:pt idx="7">
                  <c:v>53</c:v>
                </c:pt>
                <c:pt idx="8">
                  <c:v>44</c:v>
                </c:pt>
                <c:pt idx="9">
                  <c:v>32</c:v>
                </c:pt>
                <c:pt idx="10">
                  <c:v>14</c:v>
                </c:pt>
                <c:pt idx="11">
                  <c:v>6</c:v>
                </c:pt>
                <c:pt idx="12">
                  <c:v>2.2999999999999998</c:v>
                </c:pt>
              </c:numCache>
            </c:numRef>
          </c:val>
          <c:smooth val="0"/>
          <c:extLst>
            <c:ext xmlns:c16="http://schemas.microsoft.com/office/drawing/2014/chart" uri="{C3380CC4-5D6E-409C-BE32-E72D297353CC}">
              <c16:uniqueId val="{00000000-605C-4C0D-88AD-49563A075F4E}"/>
            </c:ext>
          </c:extLst>
        </c:ser>
        <c:ser>
          <c:idx val="1"/>
          <c:order val="1"/>
          <c:tx>
            <c:v>LL Limit</c:v>
          </c:tx>
          <c:spPr>
            <a:ln>
              <a:solidFill>
                <a:srgbClr val="0070C0"/>
              </a:solidFill>
              <a:prstDash val="dash"/>
            </a:ln>
          </c:spPr>
          <c:marker>
            <c:symbol val="none"/>
          </c:marker>
          <c:cat>
            <c:strRef>
              <c:f>'4 Mix Design'!$A$52:$A$64</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Design'!$H$52:$H$64</c:f>
              <c:numCache>
                <c:formatCode>General</c:formatCode>
                <c:ptCount val="13"/>
                <c:pt idx="0">
                  <c:v>100</c:v>
                </c:pt>
                <c:pt idx="1">
                  <c:v>96</c:v>
                </c:pt>
                <c:pt idx="2">
                  <c:v>70</c:v>
                </c:pt>
                <c:pt idx="3">
                  <c:v>55</c:v>
                </c:pt>
                <c:pt idx="4">
                  <c:v>48</c:v>
                </c:pt>
                <c:pt idx="5">
                  <c:v>38</c:v>
                </c:pt>
                <c:pt idx="6">
                  <c:v>30</c:v>
                </c:pt>
                <c:pt idx="7">
                  <c:v>25</c:v>
                </c:pt>
                <c:pt idx="8">
                  <c:v>20</c:v>
                </c:pt>
                <c:pt idx="9">
                  <c:v>10</c:v>
                </c:pt>
                <c:pt idx="10">
                  <c:v>2</c:v>
                </c:pt>
                <c:pt idx="11">
                  <c:v>0</c:v>
                </c:pt>
                <c:pt idx="12">
                  <c:v>0</c:v>
                </c:pt>
              </c:numCache>
            </c:numRef>
          </c:val>
          <c:smooth val="0"/>
          <c:extLst>
            <c:ext xmlns:c16="http://schemas.microsoft.com/office/drawing/2014/chart" uri="{C3380CC4-5D6E-409C-BE32-E72D297353CC}">
              <c16:uniqueId val="{00000001-605C-4C0D-88AD-49563A075F4E}"/>
            </c:ext>
          </c:extLst>
        </c:ser>
        <c:ser>
          <c:idx val="2"/>
          <c:order val="2"/>
          <c:tx>
            <c:v>CAG</c:v>
          </c:tx>
          <c:spPr>
            <a:ln>
              <a:solidFill>
                <a:srgbClr val="FF0000"/>
              </a:solidFill>
            </a:ln>
          </c:spPr>
          <c:marker>
            <c:symbol val="diamond"/>
            <c:size val="10"/>
            <c:spPr>
              <a:solidFill>
                <a:srgbClr val="FF0000"/>
              </a:solidFill>
              <a:ln>
                <a:solidFill>
                  <a:srgbClr val="FF0000"/>
                </a:solidFill>
                <a:prstDash val="dash"/>
              </a:ln>
            </c:spPr>
          </c:marker>
          <c:cat>
            <c:strRef>
              <c:f>'4 Mix Design'!$A$52:$A$64</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Design'!$I$52:$I$64</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605C-4C0D-88AD-49563A075F4E}"/>
            </c:ext>
          </c:extLst>
        </c:ser>
        <c:dLbls>
          <c:showLegendKey val="0"/>
          <c:showVal val="0"/>
          <c:showCatName val="0"/>
          <c:showSerName val="0"/>
          <c:showPercent val="0"/>
          <c:showBubbleSize val="0"/>
        </c:dLbls>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a:latin typeface="+mn-lt"/>
                  </a:rPr>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min val="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latin typeface="+mn-lt"/>
                  </a:rPr>
                  <a:t>Percent Passing, % Mass</a:t>
                </a:r>
              </a:p>
            </c:rich>
          </c:tx>
          <c:layout>
            <c:manualLayout>
              <c:xMode val="edge"/>
              <c:yMode val="edge"/>
              <c:x val="2.8451048478952527E-2"/>
              <c:y val="0.1770953085122375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mn-lt"/>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mn-lt"/>
              </a:rPr>
              <a:t>Percent</a:t>
            </a:r>
            <a:r>
              <a:rPr lang="en-US" sz="1600" baseline="0">
                <a:latin typeface="+mn-lt"/>
              </a:rPr>
              <a:t> Retained by Weight</a:t>
            </a:r>
            <a:r>
              <a:rPr lang="en-US" sz="1600">
                <a:latin typeface="+mn-lt"/>
              </a:rPr>
              <a:t> </a:t>
            </a: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3"/>
          <c:order val="0"/>
          <c:tx>
            <c:strRef>
              <c:f>'2 Aggregate System'!$A$13</c:f>
              <c:strCache>
                <c:ptCount val="1"/>
                <c:pt idx="0">
                  <c:v>Coarse A</c:v>
                </c:pt>
              </c:strCache>
            </c:strRef>
          </c:tx>
          <c:spPr>
            <a:ln>
              <a:solidFill>
                <a:srgbClr val="0070C0"/>
              </a:solidFill>
            </a:ln>
          </c:spPr>
          <c:marker>
            <c:symbol val="circle"/>
            <c:size val="6"/>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'5 Agg Analysis'!$AB$9:$AB$21</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EF7E-4D5D-9604-E9ED152A77A0}"/>
            </c:ext>
          </c:extLst>
        </c:ser>
        <c:ser>
          <c:idx val="4"/>
          <c:order val="1"/>
          <c:tx>
            <c:strRef>
              <c:f>'2 Aggregate System'!$A$14</c:f>
              <c:strCache>
                <c:ptCount val="1"/>
                <c:pt idx="0">
                  <c:v>Coarse B</c:v>
                </c:pt>
              </c:strCache>
            </c:strRef>
          </c:tx>
          <c:spPr>
            <a:ln>
              <a:solidFill>
                <a:srgbClr val="00B0F0"/>
              </a:solidFill>
            </a:ln>
          </c:spPr>
          <c:marker>
            <c:symbol val="square"/>
            <c:size val="5"/>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'5 Agg Analysis'!$AC$9:$AC$21</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1-EF7E-4D5D-9604-E9ED152A77A0}"/>
            </c:ext>
          </c:extLst>
        </c:ser>
        <c:ser>
          <c:idx val="0"/>
          <c:order val="2"/>
          <c:tx>
            <c:strRef>
              <c:f>'2 Aggregate System'!$A$15</c:f>
              <c:strCache>
                <c:ptCount val="1"/>
                <c:pt idx="0">
                  <c:v>Coarse C</c:v>
                </c:pt>
              </c:strCache>
            </c:strRef>
          </c:tx>
          <c:spPr>
            <a:ln>
              <a:solidFill>
                <a:schemeClr val="accent1">
                  <a:lumMod val="60000"/>
                  <a:lumOff val="40000"/>
                </a:schemeClr>
              </a:solidFill>
            </a:ln>
          </c:spPr>
          <c:marker>
            <c:symbol val="triangle"/>
            <c:size val="5"/>
            <c:spPr>
              <a:solidFill>
                <a:srgbClr val="FFFFFF"/>
              </a:solid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'5 Agg Analysis'!$AD$9:$AD$21</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EF7E-4D5D-9604-E9ED152A77A0}"/>
            </c:ext>
          </c:extLst>
        </c:ser>
        <c:ser>
          <c:idx val="1"/>
          <c:order val="3"/>
          <c:tx>
            <c:strRef>
              <c:f>'2 Aggregate System'!$A$16</c:f>
              <c:strCache>
                <c:ptCount val="1"/>
                <c:pt idx="0">
                  <c:v>Fine A</c:v>
                </c:pt>
              </c:strCache>
            </c:strRef>
          </c:tx>
          <c:val>
            <c:numRef>
              <c:f>'5 Agg Analysis'!$AE$9:$AE$21</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3-EF7E-4D5D-9604-E9ED152A77A0}"/>
            </c:ext>
          </c:extLst>
        </c:ser>
        <c:ser>
          <c:idx val="2"/>
          <c:order val="4"/>
          <c:tx>
            <c:strRef>
              <c:f>'2 Aggregate System'!$A$17</c:f>
              <c:strCache>
                <c:ptCount val="1"/>
                <c:pt idx="0">
                  <c:v>Fine B</c:v>
                </c:pt>
              </c:strCache>
            </c:strRef>
          </c:tx>
          <c:spPr>
            <a:ln>
              <a:solidFill>
                <a:schemeClr val="accent4"/>
              </a:solidFill>
            </a:ln>
          </c:spPr>
          <c:marker>
            <c:spPr>
              <a:solidFill>
                <a:schemeClr val="accent4"/>
              </a:solidFill>
              <a:ln>
                <a:solidFill>
                  <a:schemeClr val="accent4"/>
                </a:solidFill>
              </a:ln>
            </c:spPr>
          </c:marker>
          <c:val>
            <c:numRef>
              <c:f>'5 Agg Analysis'!$AF$9:$AF$21</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4-EF7E-4D5D-9604-E9ED152A77A0}"/>
            </c:ext>
          </c:extLst>
        </c:ser>
        <c:dLbls>
          <c:showLegendKey val="0"/>
          <c:showVal val="0"/>
          <c:showCatName val="0"/>
          <c:showSerName val="0"/>
          <c:showPercent val="0"/>
          <c:showBubbleSize val="0"/>
        </c:dLbls>
        <c:marker val="1"/>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a:latin typeface="+mn-lt"/>
                  </a:rPr>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400">
                    <a:latin typeface="+mn-lt"/>
                  </a:rPr>
                  <a:t>Percent Retained, % Weight</a:t>
                </a:r>
              </a:p>
            </c:rich>
          </c:tx>
          <c:layout>
            <c:manualLayout>
              <c:xMode val="edge"/>
              <c:yMode val="edge"/>
              <c:x val="2.8451048478952527E-2"/>
              <c:y val="0.177095308512237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legend>
      <c:legendPos val="r"/>
      <c:layout>
        <c:manualLayout>
          <c:xMode val="edge"/>
          <c:yMode val="edge"/>
          <c:x val="0.75626961653210911"/>
          <c:y val="0.12811357250491665"/>
          <c:w val="0.17321779431333495"/>
          <c:h val="0.30865442896372336"/>
        </c:manualLayout>
      </c:layout>
      <c:overlay val="0"/>
      <c:spPr>
        <a:solidFill>
          <a:srgbClr val="FFFFFF"/>
        </a:solidFill>
        <a:ln w="3175">
          <a:solidFill>
            <a:srgbClr val="000000"/>
          </a:solidFill>
          <a:prstDash val="solid"/>
        </a:ln>
      </c:spPr>
      <c:txPr>
        <a:bodyPr/>
        <a:lstStyle/>
        <a:p>
          <a:pPr>
            <a:defRPr sz="96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Calibri" panose="020F0502020204030204" pitchFamily="34" charset="0"/>
                <a:cs typeface="Calibri" panose="020F0502020204030204" pitchFamily="34" charset="0"/>
              </a:rPr>
              <a:t>Indv. Percent</a:t>
            </a:r>
            <a:r>
              <a:rPr lang="en-US" sz="1600" baseline="0">
                <a:latin typeface="Calibri" panose="020F0502020204030204" pitchFamily="34" charset="0"/>
                <a:cs typeface="Calibri" panose="020F0502020204030204" pitchFamily="34" charset="0"/>
              </a:rPr>
              <a:t> Passing</a:t>
            </a:r>
            <a:endParaRPr lang="en-US" sz="1600">
              <a:latin typeface="Calibri" panose="020F0502020204030204" pitchFamily="34" charset="0"/>
              <a:cs typeface="Calibri" panose="020F0502020204030204" pitchFamily="34" charset="0"/>
            </a:endParaRP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3"/>
          <c:order val="0"/>
          <c:tx>
            <c:strRef>
              <c:f>'2 Aggregate System'!$A$13</c:f>
              <c:strCache>
                <c:ptCount val="1"/>
                <c:pt idx="0">
                  <c:v>Coarse A</c:v>
                </c:pt>
              </c:strCache>
            </c:strRef>
          </c:tx>
          <c:marker>
            <c:symbol val="circle"/>
            <c:size val="6"/>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System'!$B$26:$B$38</c:f>
              <c:numCache>
                <c:formatCode>0.0</c:formatCode>
                <c:ptCount val="13"/>
              </c:numCache>
            </c:numRef>
          </c:val>
          <c:smooth val="0"/>
          <c:extLst>
            <c:ext xmlns:c16="http://schemas.microsoft.com/office/drawing/2014/chart" uri="{C3380CC4-5D6E-409C-BE32-E72D297353CC}">
              <c16:uniqueId val="{00000000-48EC-48D0-8881-E048930B4258}"/>
            </c:ext>
          </c:extLst>
        </c:ser>
        <c:ser>
          <c:idx val="4"/>
          <c:order val="1"/>
          <c:tx>
            <c:strRef>
              <c:f>'2 Aggregate System'!$A$14</c:f>
              <c:strCache>
                <c:ptCount val="1"/>
                <c:pt idx="0">
                  <c:v>Coarse B</c:v>
                </c:pt>
              </c:strCache>
            </c:strRef>
          </c:tx>
          <c:marker>
            <c:symbol val="square"/>
            <c:size val="5"/>
            <c:spPr>
              <a:noFill/>
              <a:ln>
                <a:solidFill>
                  <a:srgbClr val="80008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System'!$C$26:$C$38</c:f>
              <c:numCache>
                <c:formatCode>0.0</c:formatCode>
                <c:ptCount val="13"/>
              </c:numCache>
            </c:numRef>
          </c:val>
          <c:smooth val="0"/>
          <c:extLst>
            <c:ext xmlns:c16="http://schemas.microsoft.com/office/drawing/2014/chart" uri="{C3380CC4-5D6E-409C-BE32-E72D297353CC}">
              <c16:uniqueId val="{00000001-48EC-48D0-8881-E048930B4258}"/>
            </c:ext>
          </c:extLst>
        </c:ser>
        <c:ser>
          <c:idx val="0"/>
          <c:order val="2"/>
          <c:tx>
            <c:strRef>
              <c:f>'2 Aggregate System'!$A$15</c:f>
              <c:strCache>
                <c:ptCount val="1"/>
                <c:pt idx="0">
                  <c:v>Coarse C</c:v>
                </c:pt>
              </c:strCache>
            </c:strRef>
          </c:tx>
          <c:marker>
            <c:symbol val="triangle"/>
            <c:size val="5"/>
            <c:spPr>
              <a:solidFill>
                <a:srgbClr val="FFFFFF"/>
              </a:solidFill>
              <a:ln>
                <a:solidFill>
                  <a:srgbClr val="00000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System'!$D$26:$D$38</c:f>
              <c:numCache>
                <c:formatCode>0.0</c:formatCode>
                <c:ptCount val="13"/>
              </c:numCache>
            </c:numRef>
          </c:val>
          <c:smooth val="0"/>
          <c:extLst>
            <c:ext xmlns:c16="http://schemas.microsoft.com/office/drawing/2014/chart" uri="{C3380CC4-5D6E-409C-BE32-E72D297353CC}">
              <c16:uniqueId val="{00000002-48EC-48D0-8881-E048930B4258}"/>
            </c:ext>
          </c:extLst>
        </c:ser>
        <c:ser>
          <c:idx val="1"/>
          <c:order val="3"/>
          <c:tx>
            <c:strRef>
              <c:f>'2 Aggregate System'!$A$16</c:f>
              <c:strCache>
                <c:ptCount val="1"/>
                <c:pt idx="0">
                  <c:v>Fine A</c:v>
                </c:pt>
              </c:strCache>
            </c:strRef>
          </c:tx>
          <c:val>
            <c:numRef>
              <c:f>'2 Aggregate System'!$E$26:$E$38</c:f>
              <c:numCache>
                <c:formatCode>0.0</c:formatCode>
                <c:ptCount val="13"/>
              </c:numCache>
            </c:numRef>
          </c:val>
          <c:smooth val="0"/>
          <c:extLst>
            <c:ext xmlns:c16="http://schemas.microsoft.com/office/drawing/2014/chart" uri="{C3380CC4-5D6E-409C-BE32-E72D297353CC}">
              <c16:uniqueId val="{00000003-48EC-48D0-8881-E048930B4258}"/>
            </c:ext>
          </c:extLst>
        </c:ser>
        <c:ser>
          <c:idx val="2"/>
          <c:order val="4"/>
          <c:tx>
            <c:strRef>
              <c:f>'2 Aggregate System'!$A$17</c:f>
              <c:strCache>
                <c:ptCount val="1"/>
                <c:pt idx="0">
                  <c:v>Fine B</c:v>
                </c:pt>
              </c:strCache>
            </c:strRef>
          </c:tx>
          <c:val>
            <c:numRef>
              <c:f>'2 Aggregate System'!$F$26:$F$38</c:f>
              <c:numCache>
                <c:formatCode>0.0</c:formatCode>
                <c:ptCount val="13"/>
              </c:numCache>
            </c:numRef>
          </c:val>
          <c:smooth val="0"/>
          <c:extLst>
            <c:ext xmlns:c16="http://schemas.microsoft.com/office/drawing/2014/chart" uri="{C3380CC4-5D6E-409C-BE32-E72D297353CC}">
              <c16:uniqueId val="{00000004-48EC-48D0-8881-E048930B4258}"/>
            </c:ext>
          </c:extLst>
        </c:ser>
        <c:dLbls>
          <c:showLegendKey val="0"/>
          <c:showVal val="0"/>
          <c:showCatName val="0"/>
          <c:showSerName val="0"/>
          <c:showPercent val="0"/>
          <c:showBubbleSize val="0"/>
        </c:dLbls>
        <c:marker val="1"/>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min val="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Passing, % Weight</a:t>
                </a:r>
              </a:p>
            </c:rich>
          </c:tx>
          <c:layout>
            <c:manualLayout>
              <c:xMode val="edge"/>
              <c:yMode val="edge"/>
              <c:x val="2.8451048478952527E-2"/>
              <c:y val="0.17709530851223759"/>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96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Calibri" panose="020F0502020204030204" pitchFamily="34" charset="0"/>
                <a:cs typeface="Calibri" panose="020F0502020204030204" pitchFamily="34" charset="0"/>
              </a:rPr>
              <a:t>Combined Percent</a:t>
            </a:r>
            <a:r>
              <a:rPr lang="en-US" sz="1600" baseline="0">
                <a:latin typeface="Calibri" panose="020F0502020204030204" pitchFamily="34" charset="0"/>
                <a:cs typeface="Calibri" panose="020F0502020204030204" pitchFamily="34" charset="0"/>
              </a:rPr>
              <a:t> Passing</a:t>
            </a:r>
            <a:endParaRPr lang="en-US" sz="1600">
              <a:latin typeface="Calibri" panose="020F0502020204030204" pitchFamily="34" charset="0"/>
              <a:cs typeface="Calibri" panose="020F0502020204030204" pitchFamily="34" charset="0"/>
            </a:endParaRP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0"/>
          <c:order val="0"/>
          <c:tx>
            <c:v>UL Limit</c:v>
          </c:tx>
          <c:spPr>
            <a:ln w="28575">
              <a:prstDash val="dash"/>
            </a:ln>
          </c:spPr>
          <c:marker>
            <c:symbol val="none"/>
          </c:marker>
          <c:cat>
            <c:strRef>
              <c:f>'Optimize Tool'!$A$44:$A$56</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Design'!$G$52:$G$64</c:f>
              <c:numCache>
                <c:formatCode>General</c:formatCode>
                <c:ptCount val="13"/>
                <c:pt idx="0">
                  <c:v>100</c:v>
                </c:pt>
                <c:pt idx="1">
                  <c:v>100</c:v>
                </c:pt>
                <c:pt idx="2">
                  <c:v>99</c:v>
                </c:pt>
                <c:pt idx="3">
                  <c:v>96</c:v>
                </c:pt>
                <c:pt idx="4">
                  <c:v>86</c:v>
                </c:pt>
                <c:pt idx="5">
                  <c:v>77</c:v>
                </c:pt>
                <c:pt idx="6">
                  <c:v>60</c:v>
                </c:pt>
                <c:pt idx="7">
                  <c:v>53</c:v>
                </c:pt>
                <c:pt idx="8">
                  <c:v>44</c:v>
                </c:pt>
                <c:pt idx="9">
                  <c:v>32</c:v>
                </c:pt>
                <c:pt idx="10">
                  <c:v>14</c:v>
                </c:pt>
                <c:pt idx="11">
                  <c:v>6</c:v>
                </c:pt>
                <c:pt idx="12">
                  <c:v>2.2999999999999998</c:v>
                </c:pt>
              </c:numCache>
            </c:numRef>
          </c:val>
          <c:smooth val="0"/>
          <c:extLst>
            <c:ext xmlns:c16="http://schemas.microsoft.com/office/drawing/2014/chart" uri="{C3380CC4-5D6E-409C-BE32-E72D297353CC}">
              <c16:uniqueId val="{00000000-C389-41E0-AA4A-546B82D30635}"/>
            </c:ext>
          </c:extLst>
        </c:ser>
        <c:ser>
          <c:idx val="1"/>
          <c:order val="1"/>
          <c:tx>
            <c:v>LL Limit</c:v>
          </c:tx>
          <c:spPr>
            <a:ln w="28575">
              <a:solidFill>
                <a:srgbClr val="0070C0"/>
              </a:solidFill>
              <a:prstDash val="dash"/>
            </a:ln>
          </c:spPr>
          <c:marker>
            <c:symbol val="none"/>
          </c:marker>
          <c:cat>
            <c:strRef>
              <c:f>'Optimize Tool'!$A$44:$A$56</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Design'!$H$52:$H$64</c:f>
              <c:numCache>
                <c:formatCode>General</c:formatCode>
                <c:ptCount val="13"/>
                <c:pt idx="0">
                  <c:v>100</c:v>
                </c:pt>
                <c:pt idx="1">
                  <c:v>96</c:v>
                </c:pt>
                <c:pt idx="2">
                  <c:v>70</c:v>
                </c:pt>
                <c:pt idx="3">
                  <c:v>55</c:v>
                </c:pt>
                <c:pt idx="4">
                  <c:v>48</c:v>
                </c:pt>
                <c:pt idx="5">
                  <c:v>38</c:v>
                </c:pt>
                <c:pt idx="6">
                  <c:v>30</c:v>
                </c:pt>
                <c:pt idx="7">
                  <c:v>25</c:v>
                </c:pt>
                <c:pt idx="8">
                  <c:v>20</c:v>
                </c:pt>
                <c:pt idx="9">
                  <c:v>10</c:v>
                </c:pt>
                <c:pt idx="10">
                  <c:v>2</c:v>
                </c:pt>
                <c:pt idx="11">
                  <c:v>0</c:v>
                </c:pt>
                <c:pt idx="12">
                  <c:v>0</c:v>
                </c:pt>
              </c:numCache>
            </c:numRef>
          </c:val>
          <c:smooth val="0"/>
          <c:extLst>
            <c:ext xmlns:c16="http://schemas.microsoft.com/office/drawing/2014/chart" uri="{C3380CC4-5D6E-409C-BE32-E72D297353CC}">
              <c16:uniqueId val="{00000001-C389-41E0-AA4A-546B82D30635}"/>
            </c:ext>
          </c:extLst>
        </c:ser>
        <c:ser>
          <c:idx val="2"/>
          <c:order val="2"/>
          <c:tx>
            <c:v>CAG</c:v>
          </c:tx>
          <c:spPr>
            <a:ln>
              <a:solidFill>
                <a:srgbClr val="FF0000"/>
              </a:solidFill>
            </a:ln>
          </c:spPr>
          <c:marker>
            <c:symbol val="diamond"/>
            <c:size val="10"/>
            <c:spPr>
              <a:solidFill>
                <a:srgbClr val="FF0000"/>
              </a:solidFill>
              <a:ln>
                <a:solidFill>
                  <a:srgbClr val="FF0000"/>
                </a:solidFill>
                <a:prstDash val="dash"/>
              </a:ln>
            </c:spPr>
          </c:marker>
          <c:cat>
            <c:strRef>
              <c:f>'Optimize Tool'!$A$44:$A$56</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Design'!$I$52:$I$64</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C389-41E0-AA4A-546B82D30635}"/>
            </c:ext>
          </c:extLst>
        </c:ser>
        <c:dLbls>
          <c:showLegendKey val="0"/>
          <c:showVal val="0"/>
          <c:showCatName val="0"/>
          <c:showSerName val="0"/>
          <c:showPercent val="0"/>
          <c:showBubbleSize val="0"/>
        </c:dLbls>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min val="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Passing, % Weight</a:t>
                </a:r>
              </a:p>
            </c:rich>
          </c:tx>
          <c:layout>
            <c:manualLayout>
              <c:xMode val="edge"/>
              <c:yMode val="edge"/>
              <c:x val="2.8451048478952527E-2"/>
              <c:y val="0.1770953085122375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Calibri" panose="020F0502020204030204" pitchFamily="34" charset="0"/>
                <a:cs typeface="Calibri" panose="020F0502020204030204" pitchFamily="34" charset="0"/>
              </a:rPr>
              <a:t>Indv. Percent</a:t>
            </a:r>
            <a:r>
              <a:rPr lang="en-US" sz="1600" baseline="0">
                <a:latin typeface="Calibri" panose="020F0502020204030204" pitchFamily="34" charset="0"/>
                <a:cs typeface="Calibri" panose="020F0502020204030204" pitchFamily="34" charset="0"/>
              </a:rPr>
              <a:t> Passing</a:t>
            </a:r>
            <a:endParaRPr lang="en-US" sz="1600">
              <a:latin typeface="Calibri" panose="020F0502020204030204" pitchFamily="34" charset="0"/>
              <a:cs typeface="Calibri" panose="020F0502020204030204" pitchFamily="34" charset="0"/>
            </a:endParaRP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3"/>
          <c:order val="0"/>
          <c:tx>
            <c:strRef>
              <c:f>'2 Aggregate System'!$A$13</c:f>
              <c:strCache>
                <c:ptCount val="1"/>
                <c:pt idx="0">
                  <c:v>Coarse A</c:v>
                </c:pt>
              </c:strCache>
            </c:strRef>
          </c:tx>
          <c:marker>
            <c:symbol val="circle"/>
            <c:size val="6"/>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System'!$B$26:$B$38</c:f>
              <c:numCache>
                <c:formatCode>0.0</c:formatCode>
                <c:ptCount val="13"/>
              </c:numCache>
            </c:numRef>
          </c:val>
          <c:smooth val="0"/>
          <c:extLst>
            <c:ext xmlns:c16="http://schemas.microsoft.com/office/drawing/2014/chart" uri="{C3380CC4-5D6E-409C-BE32-E72D297353CC}">
              <c16:uniqueId val="{00000000-FD10-471F-8C38-F137EB987743}"/>
            </c:ext>
          </c:extLst>
        </c:ser>
        <c:ser>
          <c:idx val="4"/>
          <c:order val="1"/>
          <c:tx>
            <c:strRef>
              <c:f>'2 Aggregate System'!$A$14</c:f>
              <c:strCache>
                <c:ptCount val="1"/>
                <c:pt idx="0">
                  <c:v>Coarse B</c:v>
                </c:pt>
              </c:strCache>
            </c:strRef>
          </c:tx>
          <c:marker>
            <c:symbol val="square"/>
            <c:size val="5"/>
            <c:spPr>
              <a:noFill/>
              <a:ln>
                <a:solidFill>
                  <a:srgbClr val="80008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System'!$C$26:$C$38</c:f>
              <c:numCache>
                <c:formatCode>0.0</c:formatCode>
                <c:ptCount val="13"/>
              </c:numCache>
            </c:numRef>
          </c:val>
          <c:smooth val="0"/>
          <c:extLst>
            <c:ext xmlns:c16="http://schemas.microsoft.com/office/drawing/2014/chart" uri="{C3380CC4-5D6E-409C-BE32-E72D297353CC}">
              <c16:uniqueId val="{00000001-FD10-471F-8C38-F137EB987743}"/>
            </c:ext>
          </c:extLst>
        </c:ser>
        <c:ser>
          <c:idx val="0"/>
          <c:order val="2"/>
          <c:tx>
            <c:strRef>
              <c:f>'2 Aggregate System'!$A$15</c:f>
              <c:strCache>
                <c:ptCount val="1"/>
                <c:pt idx="0">
                  <c:v>Coarse C</c:v>
                </c:pt>
              </c:strCache>
            </c:strRef>
          </c:tx>
          <c:marker>
            <c:symbol val="triangle"/>
            <c:size val="5"/>
            <c:spPr>
              <a:solidFill>
                <a:srgbClr val="FFFFFF"/>
              </a:solidFill>
              <a:ln>
                <a:solidFill>
                  <a:srgbClr val="00000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System'!$D$26:$D$38</c:f>
              <c:numCache>
                <c:formatCode>0.0</c:formatCode>
                <c:ptCount val="13"/>
              </c:numCache>
            </c:numRef>
          </c:val>
          <c:smooth val="0"/>
          <c:extLst>
            <c:ext xmlns:c16="http://schemas.microsoft.com/office/drawing/2014/chart" uri="{C3380CC4-5D6E-409C-BE32-E72D297353CC}">
              <c16:uniqueId val="{00000002-FD10-471F-8C38-F137EB987743}"/>
            </c:ext>
          </c:extLst>
        </c:ser>
        <c:ser>
          <c:idx val="1"/>
          <c:order val="3"/>
          <c:tx>
            <c:strRef>
              <c:f>'2 Aggregate System'!$A$16</c:f>
              <c:strCache>
                <c:ptCount val="1"/>
                <c:pt idx="0">
                  <c:v>Fine A</c:v>
                </c:pt>
              </c:strCache>
            </c:strRef>
          </c:tx>
          <c:val>
            <c:numRef>
              <c:f>'2 Aggregate System'!$E$26:$E$38</c:f>
              <c:numCache>
                <c:formatCode>0.0</c:formatCode>
                <c:ptCount val="13"/>
              </c:numCache>
            </c:numRef>
          </c:val>
          <c:smooth val="0"/>
          <c:extLst>
            <c:ext xmlns:c16="http://schemas.microsoft.com/office/drawing/2014/chart" uri="{C3380CC4-5D6E-409C-BE32-E72D297353CC}">
              <c16:uniqueId val="{00000003-FD10-471F-8C38-F137EB987743}"/>
            </c:ext>
          </c:extLst>
        </c:ser>
        <c:ser>
          <c:idx val="2"/>
          <c:order val="4"/>
          <c:tx>
            <c:strRef>
              <c:f>'2 Aggregate System'!$A$17</c:f>
              <c:strCache>
                <c:ptCount val="1"/>
                <c:pt idx="0">
                  <c:v>Fine B</c:v>
                </c:pt>
              </c:strCache>
            </c:strRef>
          </c:tx>
          <c:val>
            <c:numRef>
              <c:f>'2 Aggregate System'!$F$26:$F$38</c:f>
              <c:numCache>
                <c:formatCode>0.0</c:formatCode>
                <c:ptCount val="13"/>
              </c:numCache>
            </c:numRef>
          </c:val>
          <c:smooth val="0"/>
          <c:extLst>
            <c:ext xmlns:c16="http://schemas.microsoft.com/office/drawing/2014/chart" uri="{C3380CC4-5D6E-409C-BE32-E72D297353CC}">
              <c16:uniqueId val="{00000004-FD10-471F-8C38-F137EB987743}"/>
            </c:ext>
          </c:extLst>
        </c:ser>
        <c:dLbls>
          <c:showLegendKey val="0"/>
          <c:showVal val="0"/>
          <c:showCatName val="0"/>
          <c:showSerName val="0"/>
          <c:showPercent val="0"/>
          <c:showBubbleSize val="0"/>
        </c:dLbls>
        <c:marker val="1"/>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min val="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Passing, % Weight</a:t>
                </a:r>
              </a:p>
            </c:rich>
          </c:tx>
          <c:layout>
            <c:manualLayout>
              <c:xMode val="edge"/>
              <c:yMode val="edge"/>
              <c:x val="2.8451048478952527E-2"/>
              <c:y val="0.17709530851223759"/>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legend>
      <c:legendPos val="r"/>
      <c:layout>
        <c:manualLayout>
          <c:xMode val="edge"/>
          <c:yMode val="edge"/>
          <c:x val="0.76665380430018026"/>
          <c:y val="0.12415168793934067"/>
          <c:w val="0.14642745054968692"/>
          <c:h val="0.29096351320265301"/>
        </c:manualLayout>
      </c:layout>
      <c:overlay val="0"/>
      <c:spPr>
        <a:solidFill>
          <a:srgbClr val="FFFFFF"/>
        </a:solidFill>
        <a:ln w="3175">
          <a:solidFill>
            <a:srgbClr val="000000"/>
          </a:solidFill>
          <a:prstDash val="solid"/>
        </a:ln>
      </c:spPr>
      <c:txPr>
        <a:bodyPr/>
        <a:lstStyle/>
        <a:p>
          <a:pPr>
            <a:defRPr sz="96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800">
                <a:latin typeface="Calibri" panose="020F0502020204030204" pitchFamily="34" charset="0"/>
                <a:cs typeface="Calibri" panose="020F0502020204030204" pitchFamily="34" charset="0"/>
              </a:rPr>
              <a:t>Indv. Percent</a:t>
            </a:r>
            <a:r>
              <a:rPr lang="en-US" sz="1800" baseline="0">
                <a:latin typeface="Calibri" panose="020F0502020204030204" pitchFamily="34" charset="0"/>
                <a:cs typeface="Calibri" panose="020F0502020204030204" pitchFamily="34" charset="0"/>
              </a:rPr>
              <a:t> Passing</a:t>
            </a:r>
            <a:endParaRPr lang="en-US" sz="1800">
              <a:latin typeface="Calibri" panose="020F0502020204030204" pitchFamily="34" charset="0"/>
              <a:cs typeface="Calibri" panose="020F0502020204030204" pitchFamily="34" charset="0"/>
            </a:endParaRP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3"/>
          <c:order val="0"/>
          <c:tx>
            <c:strRef>
              <c:f>'2 Aggregate System'!$A$13</c:f>
              <c:strCache>
                <c:ptCount val="1"/>
                <c:pt idx="0">
                  <c:v>Coarse A</c:v>
                </c:pt>
              </c:strCache>
            </c:strRef>
          </c:tx>
          <c:marker>
            <c:symbol val="circle"/>
            <c:size val="6"/>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System'!$B$26:$B$38</c:f>
              <c:numCache>
                <c:formatCode>0.0</c:formatCode>
                <c:ptCount val="13"/>
              </c:numCache>
            </c:numRef>
          </c:val>
          <c:smooth val="0"/>
          <c:extLst>
            <c:ext xmlns:c16="http://schemas.microsoft.com/office/drawing/2014/chart" uri="{C3380CC4-5D6E-409C-BE32-E72D297353CC}">
              <c16:uniqueId val="{00000000-47CC-4DE5-B31F-BE21AF7A9CBB}"/>
            </c:ext>
          </c:extLst>
        </c:ser>
        <c:ser>
          <c:idx val="4"/>
          <c:order val="1"/>
          <c:tx>
            <c:strRef>
              <c:f>'2 Aggregate System'!$A$14</c:f>
              <c:strCache>
                <c:ptCount val="1"/>
                <c:pt idx="0">
                  <c:v>Coarse B</c:v>
                </c:pt>
              </c:strCache>
            </c:strRef>
          </c:tx>
          <c:marker>
            <c:symbol val="square"/>
            <c:size val="5"/>
            <c:spPr>
              <a:noFill/>
              <a:ln>
                <a:solidFill>
                  <a:srgbClr val="80008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System'!$C$26:$C$38</c:f>
              <c:numCache>
                <c:formatCode>0.0</c:formatCode>
                <c:ptCount val="13"/>
              </c:numCache>
            </c:numRef>
          </c:val>
          <c:smooth val="0"/>
          <c:extLst>
            <c:ext xmlns:c16="http://schemas.microsoft.com/office/drawing/2014/chart" uri="{C3380CC4-5D6E-409C-BE32-E72D297353CC}">
              <c16:uniqueId val="{00000001-47CC-4DE5-B31F-BE21AF7A9CBB}"/>
            </c:ext>
          </c:extLst>
        </c:ser>
        <c:ser>
          <c:idx val="0"/>
          <c:order val="2"/>
          <c:tx>
            <c:strRef>
              <c:f>'2 Aggregate System'!$A$15</c:f>
              <c:strCache>
                <c:ptCount val="1"/>
                <c:pt idx="0">
                  <c:v>Coarse C</c:v>
                </c:pt>
              </c:strCache>
            </c:strRef>
          </c:tx>
          <c:marker>
            <c:symbol val="triangle"/>
            <c:size val="5"/>
            <c:spPr>
              <a:solidFill>
                <a:srgbClr val="FFFFFF"/>
              </a:solidFill>
              <a:ln>
                <a:solidFill>
                  <a:srgbClr val="00000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System'!$D$26:$D$38</c:f>
              <c:numCache>
                <c:formatCode>0.0</c:formatCode>
                <c:ptCount val="13"/>
              </c:numCache>
            </c:numRef>
          </c:val>
          <c:smooth val="0"/>
          <c:extLst>
            <c:ext xmlns:c16="http://schemas.microsoft.com/office/drawing/2014/chart" uri="{C3380CC4-5D6E-409C-BE32-E72D297353CC}">
              <c16:uniqueId val="{00000002-47CC-4DE5-B31F-BE21AF7A9CBB}"/>
            </c:ext>
          </c:extLst>
        </c:ser>
        <c:ser>
          <c:idx val="1"/>
          <c:order val="3"/>
          <c:tx>
            <c:strRef>
              <c:f>'2 Aggregate System'!$A$16</c:f>
              <c:strCache>
                <c:ptCount val="1"/>
                <c:pt idx="0">
                  <c:v>Fine A</c:v>
                </c:pt>
              </c:strCache>
            </c:strRef>
          </c:tx>
          <c:val>
            <c:numRef>
              <c:f>'2 Aggregate System'!$E$26:$E$38</c:f>
              <c:numCache>
                <c:formatCode>0.0</c:formatCode>
                <c:ptCount val="13"/>
              </c:numCache>
            </c:numRef>
          </c:val>
          <c:smooth val="0"/>
          <c:extLst>
            <c:ext xmlns:c16="http://schemas.microsoft.com/office/drawing/2014/chart" uri="{C3380CC4-5D6E-409C-BE32-E72D297353CC}">
              <c16:uniqueId val="{00000003-47CC-4DE5-B31F-BE21AF7A9CBB}"/>
            </c:ext>
          </c:extLst>
        </c:ser>
        <c:ser>
          <c:idx val="2"/>
          <c:order val="4"/>
          <c:tx>
            <c:strRef>
              <c:f>'2 Aggregate System'!$A$17</c:f>
              <c:strCache>
                <c:ptCount val="1"/>
                <c:pt idx="0">
                  <c:v>Fine B</c:v>
                </c:pt>
              </c:strCache>
            </c:strRef>
          </c:tx>
          <c:val>
            <c:numRef>
              <c:f>'2 Aggregate System'!$F$26:$F$38</c:f>
              <c:numCache>
                <c:formatCode>0.0</c:formatCode>
                <c:ptCount val="13"/>
              </c:numCache>
            </c:numRef>
          </c:val>
          <c:smooth val="0"/>
          <c:extLst>
            <c:ext xmlns:c16="http://schemas.microsoft.com/office/drawing/2014/chart" uri="{C3380CC4-5D6E-409C-BE32-E72D297353CC}">
              <c16:uniqueId val="{00000004-47CC-4DE5-B31F-BE21AF7A9CBB}"/>
            </c:ext>
          </c:extLst>
        </c:ser>
        <c:dLbls>
          <c:showLegendKey val="0"/>
          <c:showVal val="0"/>
          <c:showCatName val="0"/>
          <c:showSerName val="0"/>
          <c:showPercent val="0"/>
          <c:showBubbleSize val="0"/>
        </c:dLbls>
        <c:marker val="1"/>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min val="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Passing, % Weight</a:t>
                </a:r>
              </a:p>
            </c:rich>
          </c:tx>
          <c:layout>
            <c:manualLayout>
              <c:xMode val="edge"/>
              <c:yMode val="edge"/>
              <c:x val="2.8451048478952527E-2"/>
              <c:y val="0.17709530851223759"/>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legend>
      <c:legendPos val="r"/>
      <c:layout>
        <c:manualLayout>
          <c:xMode val="edge"/>
          <c:yMode val="edge"/>
          <c:x val="0.77308842414813472"/>
          <c:y val="0.12503937007874016"/>
          <c:w val="0.15148732341465004"/>
          <c:h val="0.30865442896372336"/>
        </c:manualLayout>
      </c:layout>
      <c:overlay val="0"/>
      <c:spPr>
        <a:solidFill>
          <a:srgbClr val="FFFFFF"/>
        </a:solidFill>
        <a:ln w="3175">
          <a:solidFill>
            <a:srgbClr val="000000"/>
          </a:solidFill>
          <a:prstDash val="solid"/>
        </a:ln>
      </c:spPr>
      <c:txPr>
        <a:bodyPr/>
        <a:lstStyle/>
        <a:p>
          <a:pPr>
            <a:defRPr sz="96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800">
                <a:latin typeface="Calibri" panose="020F0502020204030204" pitchFamily="34" charset="0"/>
                <a:cs typeface="Calibri" panose="020F0502020204030204" pitchFamily="34" charset="0"/>
              </a:rPr>
              <a:t>Combined Percent</a:t>
            </a:r>
            <a:r>
              <a:rPr lang="en-US" sz="1800" baseline="0">
                <a:latin typeface="Calibri" panose="020F0502020204030204" pitchFamily="34" charset="0"/>
                <a:cs typeface="Calibri" panose="020F0502020204030204" pitchFamily="34" charset="0"/>
              </a:rPr>
              <a:t> Passing</a:t>
            </a:r>
            <a:endParaRPr lang="en-US" sz="1800">
              <a:latin typeface="Calibri" panose="020F0502020204030204" pitchFamily="34" charset="0"/>
              <a:cs typeface="Calibri" panose="020F0502020204030204" pitchFamily="34" charset="0"/>
            </a:endParaRP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0"/>
          <c:order val="0"/>
          <c:tx>
            <c:v>UL Limit</c:v>
          </c:tx>
          <c:spPr>
            <a:ln w="28575">
              <a:prstDash val="dash"/>
            </a:ln>
          </c:spPr>
          <c:marker>
            <c:symbol val="none"/>
          </c:marker>
          <c:cat>
            <c:strRef>
              <c:f>'Optimize Tool'!$A$44:$A$56</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'Optimize Tool'!$G$44:$G$56</c:f>
              <c:numCache>
                <c:formatCode>General</c:formatCode>
                <c:ptCount val="13"/>
                <c:pt idx="0">
                  <c:v>100</c:v>
                </c:pt>
                <c:pt idx="1">
                  <c:v>100</c:v>
                </c:pt>
                <c:pt idx="2">
                  <c:v>99</c:v>
                </c:pt>
                <c:pt idx="3">
                  <c:v>96</c:v>
                </c:pt>
                <c:pt idx="4">
                  <c:v>86</c:v>
                </c:pt>
                <c:pt idx="5">
                  <c:v>77</c:v>
                </c:pt>
                <c:pt idx="6">
                  <c:v>60</c:v>
                </c:pt>
                <c:pt idx="7">
                  <c:v>53</c:v>
                </c:pt>
                <c:pt idx="8">
                  <c:v>44</c:v>
                </c:pt>
                <c:pt idx="9">
                  <c:v>32</c:v>
                </c:pt>
                <c:pt idx="10">
                  <c:v>14</c:v>
                </c:pt>
                <c:pt idx="11">
                  <c:v>6</c:v>
                </c:pt>
                <c:pt idx="12">
                  <c:v>2.2999999999999998</c:v>
                </c:pt>
              </c:numCache>
            </c:numRef>
          </c:val>
          <c:smooth val="0"/>
          <c:extLst>
            <c:ext xmlns:c16="http://schemas.microsoft.com/office/drawing/2014/chart" uri="{C3380CC4-5D6E-409C-BE32-E72D297353CC}">
              <c16:uniqueId val="{00000000-790C-46DB-88BE-DC431086862A}"/>
            </c:ext>
          </c:extLst>
        </c:ser>
        <c:ser>
          <c:idx val="1"/>
          <c:order val="1"/>
          <c:tx>
            <c:v>LL Limit</c:v>
          </c:tx>
          <c:spPr>
            <a:ln w="28575">
              <a:solidFill>
                <a:srgbClr val="0070C0"/>
              </a:solidFill>
              <a:prstDash val="dash"/>
            </a:ln>
          </c:spPr>
          <c:marker>
            <c:symbol val="none"/>
          </c:marker>
          <c:cat>
            <c:strRef>
              <c:f>'Optimize Tool'!$A$44:$A$56</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'Optimize Tool'!$H$44:$H$56</c:f>
              <c:numCache>
                <c:formatCode>General</c:formatCode>
                <c:ptCount val="13"/>
                <c:pt idx="0">
                  <c:v>100</c:v>
                </c:pt>
                <c:pt idx="1">
                  <c:v>96</c:v>
                </c:pt>
                <c:pt idx="2">
                  <c:v>70</c:v>
                </c:pt>
                <c:pt idx="3">
                  <c:v>55</c:v>
                </c:pt>
                <c:pt idx="4">
                  <c:v>48</c:v>
                </c:pt>
                <c:pt idx="5">
                  <c:v>38</c:v>
                </c:pt>
                <c:pt idx="6">
                  <c:v>30</c:v>
                </c:pt>
                <c:pt idx="7">
                  <c:v>25</c:v>
                </c:pt>
                <c:pt idx="8">
                  <c:v>20</c:v>
                </c:pt>
                <c:pt idx="9">
                  <c:v>10</c:v>
                </c:pt>
                <c:pt idx="10">
                  <c:v>2</c:v>
                </c:pt>
                <c:pt idx="11">
                  <c:v>0</c:v>
                </c:pt>
                <c:pt idx="12">
                  <c:v>0</c:v>
                </c:pt>
              </c:numCache>
            </c:numRef>
          </c:val>
          <c:smooth val="0"/>
          <c:extLst>
            <c:ext xmlns:c16="http://schemas.microsoft.com/office/drawing/2014/chart" uri="{C3380CC4-5D6E-409C-BE32-E72D297353CC}">
              <c16:uniqueId val="{00000001-790C-46DB-88BE-DC431086862A}"/>
            </c:ext>
          </c:extLst>
        </c:ser>
        <c:ser>
          <c:idx val="2"/>
          <c:order val="2"/>
          <c:tx>
            <c:v>CAG</c:v>
          </c:tx>
          <c:spPr>
            <a:ln>
              <a:solidFill>
                <a:srgbClr val="FF0000"/>
              </a:solidFill>
            </a:ln>
          </c:spPr>
          <c:marker>
            <c:symbol val="diamond"/>
            <c:size val="10"/>
            <c:spPr>
              <a:solidFill>
                <a:srgbClr val="FF0000"/>
              </a:solidFill>
              <a:ln>
                <a:solidFill>
                  <a:srgbClr val="FF0000"/>
                </a:solidFill>
                <a:prstDash val="dash"/>
              </a:ln>
            </c:spPr>
          </c:marker>
          <c:cat>
            <c:strRef>
              <c:f>'Optimize Tool'!$A$44:$A$56</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'Optimize Tool'!$I$44:$I$56</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790C-46DB-88BE-DC431086862A}"/>
            </c:ext>
          </c:extLst>
        </c:ser>
        <c:dLbls>
          <c:showLegendKey val="0"/>
          <c:showVal val="0"/>
          <c:showCatName val="0"/>
          <c:showSerName val="0"/>
          <c:showPercent val="0"/>
          <c:showBubbleSize val="0"/>
        </c:dLbls>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min val="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Passing, % Weight</a:t>
                </a:r>
              </a:p>
            </c:rich>
          </c:tx>
          <c:layout>
            <c:manualLayout>
              <c:xMode val="edge"/>
              <c:yMode val="edge"/>
              <c:x val="2.8451048478952527E-2"/>
              <c:y val="0.1770953085122375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400" b="1" i="0" u="none" strike="noStrike" baseline="0">
                <a:solidFill>
                  <a:srgbClr val="000000"/>
                </a:solidFill>
                <a:latin typeface="+mn-lt"/>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mn-lt"/>
              </a:rPr>
              <a:t>Combined Percent</a:t>
            </a:r>
            <a:r>
              <a:rPr lang="en-US" sz="1600" baseline="0">
                <a:latin typeface="+mn-lt"/>
              </a:rPr>
              <a:t> Passing</a:t>
            </a:r>
            <a:endParaRPr lang="en-US" sz="1600">
              <a:latin typeface="+mn-lt"/>
            </a:endParaRP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0"/>
          <c:order val="0"/>
          <c:tx>
            <c:v>UL Limit</c:v>
          </c:tx>
          <c:spPr>
            <a:ln>
              <a:prstDash val="dash"/>
            </a:ln>
          </c:spPr>
          <c:marker>
            <c:symbol val="none"/>
          </c:marker>
          <c:cat>
            <c:strRef>
              <c:f>'4 Mix Design'!$A$52:$A$64</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Design'!$G$52:$G$64</c:f>
              <c:numCache>
                <c:formatCode>General</c:formatCode>
                <c:ptCount val="13"/>
                <c:pt idx="0">
                  <c:v>100</c:v>
                </c:pt>
                <c:pt idx="1">
                  <c:v>100</c:v>
                </c:pt>
                <c:pt idx="2">
                  <c:v>99</c:v>
                </c:pt>
                <c:pt idx="3">
                  <c:v>96</c:v>
                </c:pt>
                <c:pt idx="4">
                  <c:v>86</c:v>
                </c:pt>
                <c:pt idx="5">
                  <c:v>77</c:v>
                </c:pt>
                <c:pt idx="6">
                  <c:v>60</c:v>
                </c:pt>
                <c:pt idx="7">
                  <c:v>53</c:v>
                </c:pt>
                <c:pt idx="8">
                  <c:v>44</c:v>
                </c:pt>
                <c:pt idx="9">
                  <c:v>32</c:v>
                </c:pt>
                <c:pt idx="10">
                  <c:v>14</c:v>
                </c:pt>
                <c:pt idx="11">
                  <c:v>6</c:v>
                </c:pt>
                <c:pt idx="12">
                  <c:v>2.2999999999999998</c:v>
                </c:pt>
              </c:numCache>
            </c:numRef>
          </c:val>
          <c:smooth val="0"/>
          <c:extLst>
            <c:ext xmlns:c16="http://schemas.microsoft.com/office/drawing/2014/chart" uri="{C3380CC4-5D6E-409C-BE32-E72D297353CC}">
              <c16:uniqueId val="{00000000-3549-44A1-B275-67AF09F80F49}"/>
            </c:ext>
          </c:extLst>
        </c:ser>
        <c:ser>
          <c:idx val="1"/>
          <c:order val="1"/>
          <c:tx>
            <c:v>LL Limit</c:v>
          </c:tx>
          <c:spPr>
            <a:ln>
              <a:solidFill>
                <a:srgbClr val="0070C0"/>
              </a:solidFill>
              <a:prstDash val="dash"/>
            </a:ln>
          </c:spPr>
          <c:marker>
            <c:symbol val="none"/>
          </c:marker>
          <c:cat>
            <c:strRef>
              <c:f>'4 Mix Design'!$A$52:$A$64</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Design'!$H$52:$H$64</c:f>
              <c:numCache>
                <c:formatCode>General</c:formatCode>
                <c:ptCount val="13"/>
                <c:pt idx="0">
                  <c:v>100</c:v>
                </c:pt>
                <c:pt idx="1">
                  <c:v>96</c:v>
                </c:pt>
                <c:pt idx="2">
                  <c:v>70</c:v>
                </c:pt>
                <c:pt idx="3">
                  <c:v>55</c:v>
                </c:pt>
                <c:pt idx="4">
                  <c:v>48</c:v>
                </c:pt>
                <c:pt idx="5">
                  <c:v>38</c:v>
                </c:pt>
                <c:pt idx="6">
                  <c:v>30</c:v>
                </c:pt>
                <c:pt idx="7">
                  <c:v>25</c:v>
                </c:pt>
                <c:pt idx="8">
                  <c:v>20</c:v>
                </c:pt>
                <c:pt idx="9">
                  <c:v>10</c:v>
                </c:pt>
                <c:pt idx="10">
                  <c:v>2</c:v>
                </c:pt>
                <c:pt idx="11">
                  <c:v>0</c:v>
                </c:pt>
                <c:pt idx="12">
                  <c:v>0</c:v>
                </c:pt>
              </c:numCache>
            </c:numRef>
          </c:val>
          <c:smooth val="0"/>
          <c:extLst>
            <c:ext xmlns:c16="http://schemas.microsoft.com/office/drawing/2014/chart" uri="{C3380CC4-5D6E-409C-BE32-E72D297353CC}">
              <c16:uniqueId val="{00000001-3549-44A1-B275-67AF09F80F49}"/>
            </c:ext>
          </c:extLst>
        </c:ser>
        <c:ser>
          <c:idx val="2"/>
          <c:order val="2"/>
          <c:tx>
            <c:v>CAG</c:v>
          </c:tx>
          <c:spPr>
            <a:ln>
              <a:solidFill>
                <a:srgbClr val="FF0000"/>
              </a:solidFill>
            </a:ln>
          </c:spPr>
          <c:marker>
            <c:symbol val="diamond"/>
            <c:size val="7"/>
            <c:spPr>
              <a:solidFill>
                <a:srgbClr val="FF0000"/>
              </a:solidFill>
              <a:ln>
                <a:solidFill>
                  <a:srgbClr val="FF0000"/>
                </a:solidFill>
                <a:prstDash val="dash"/>
              </a:ln>
            </c:spPr>
          </c:marker>
          <c:cat>
            <c:strRef>
              <c:f>'4 Mix Design'!$A$52:$A$64</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Design'!$I$52:$I$64</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3549-44A1-B275-67AF09F80F49}"/>
            </c:ext>
          </c:extLst>
        </c:ser>
        <c:dLbls>
          <c:showLegendKey val="0"/>
          <c:showVal val="0"/>
          <c:showCatName val="0"/>
          <c:showSerName val="0"/>
          <c:showPercent val="0"/>
          <c:showBubbleSize val="0"/>
        </c:dLbls>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min val="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400">
                    <a:latin typeface="+mn-lt"/>
                  </a:rPr>
                  <a:t>Percent Passing, % Weight</a:t>
                </a:r>
              </a:p>
            </c:rich>
          </c:tx>
          <c:layout>
            <c:manualLayout>
              <c:xMode val="edge"/>
              <c:yMode val="edge"/>
              <c:x val="2.8451048478952527E-2"/>
              <c:y val="0.1770953085122375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mn-lt"/>
              </a:rPr>
              <a:t>Tarantula</a:t>
            </a:r>
          </a:p>
        </c:rich>
      </c:tx>
      <c:overlay val="1"/>
    </c:title>
    <c:autoTitleDeleted val="0"/>
    <c:plotArea>
      <c:layout>
        <c:manualLayout>
          <c:layoutTarget val="inner"/>
          <c:xMode val="edge"/>
          <c:yMode val="edge"/>
          <c:x val="0.15482723351269623"/>
          <c:y val="0.12683727034120734"/>
          <c:w val="0.7941726330768889"/>
          <c:h val="0.68202810586176732"/>
        </c:manualLayout>
      </c:layout>
      <c:lineChart>
        <c:grouping val="standard"/>
        <c:varyColors val="0"/>
        <c:ser>
          <c:idx val="0"/>
          <c:order val="0"/>
          <c:tx>
            <c:v>Indv. % Ret.</c:v>
          </c:tx>
          <c:spPr>
            <a:ln>
              <a:solidFill>
                <a:srgbClr val="FF0000"/>
              </a:solidFill>
            </a:ln>
          </c:spPr>
          <c:marker>
            <c:symbol val="diamond"/>
            <c:size val="9"/>
            <c:spPr>
              <a:solidFill>
                <a:srgbClr val="FF0000"/>
              </a:solidFill>
              <a:ln w="9525">
                <a:solidFill>
                  <a:srgbClr val="FF0000"/>
                </a:solidFill>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Data_Charts!$C$46:$C$58</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E41E-424A-B57F-E53DFCA60476}"/>
            </c:ext>
          </c:extLst>
        </c:ser>
        <c:ser>
          <c:idx val="1"/>
          <c:order val="1"/>
          <c:tx>
            <c:v>Lower Tarant. Bound</c:v>
          </c:tx>
          <c:spPr>
            <a:ln w="28575">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'5 Agg Analysis'!$Q$27:$Q$39</c:f>
              <c:numCache>
                <c:formatCode>0</c:formatCode>
                <c:ptCount val="13"/>
                <c:pt idx="1">
                  <c:v>0</c:v>
                </c:pt>
                <c:pt idx="2">
                  <c:v>0</c:v>
                </c:pt>
                <c:pt idx="3">
                  <c:v>0</c:v>
                </c:pt>
                <c:pt idx="4">
                  <c:v>4</c:v>
                </c:pt>
                <c:pt idx="5">
                  <c:v>4</c:v>
                </c:pt>
                <c:pt idx="6">
                  <c:v>4</c:v>
                </c:pt>
                <c:pt idx="7">
                  <c:v>0</c:v>
                </c:pt>
                <c:pt idx="8">
                  <c:v>0</c:v>
                </c:pt>
                <c:pt idx="9">
                  <c:v>4</c:v>
                </c:pt>
                <c:pt idx="10">
                  <c:v>4</c:v>
                </c:pt>
                <c:pt idx="11">
                  <c:v>0</c:v>
                </c:pt>
                <c:pt idx="12">
                  <c:v>0</c:v>
                </c:pt>
              </c:numCache>
            </c:numRef>
          </c:val>
          <c:smooth val="0"/>
          <c:extLst>
            <c:ext xmlns:c16="http://schemas.microsoft.com/office/drawing/2014/chart" uri="{C3380CC4-5D6E-409C-BE32-E72D297353CC}">
              <c16:uniqueId val="{00000001-E41E-424A-B57F-E53DFCA60476}"/>
            </c:ext>
          </c:extLst>
        </c:ser>
        <c:ser>
          <c:idx val="2"/>
          <c:order val="2"/>
          <c:tx>
            <c:v>Upper Tarant Bound</c:v>
          </c:tx>
          <c:spPr>
            <a:ln w="28575">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'5 Agg Analysis'!$P$27:$P$39</c:f>
              <c:numCache>
                <c:formatCode>0</c:formatCode>
                <c:ptCount val="13"/>
                <c:pt idx="0">
                  <c:v>0</c:v>
                </c:pt>
                <c:pt idx="1">
                  <c:v>5</c:v>
                </c:pt>
                <c:pt idx="2">
                  <c:v>16</c:v>
                </c:pt>
                <c:pt idx="3">
                  <c:v>20</c:v>
                </c:pt>
                <c:pt idx="4">
                  <c:v>20</c:v>
                </c:pt>
                <c:pt idx="5">
                  <c:v>20</c:v>
                </c:pt>
                <c:pt idx="6">
                  <c:v>20</c:v>
                </c:pt>
                <c:pt idx="7">
                  <c:v>12</c:v>
                </c:pt>
                <c:pt idx="8">
                  <c:v>12</c:v>
                </c:pt>
                <c:pt idx="9">
                  <c:v>20</c:v>
                </c:pt>
                <c:pt idx="10">
                  <c:v>20</c:v>
                </c:pt>
                <c:pt idx="11">
                  <c:v>10</c:v>
                </c:pt>
                <c:pt idx="12">
                  <c:v>5</c:v>
                </c:pt>
              </c:numCache>
            </c:numRef>
          </c:val>
          <c:smooth val="0"/>
          <c:extLst>
            <c:ext xmlns:c16="http://schemas.microsoft.com/office/drawing/2014/chart" uri="{C3380CC4-5D6E-409C-BE32-E72D297353CC}">
              <c16:uniqueId val="{00000002-E41E-424A-B57F-E53DFCA60476}"/>
            </c:ext>
          </c:extLst>
        </c:ser>
        <c:dLbls>
          <c:showLegendKey val="0"/>
          <c:showVal val="0"/>
          <c:showCatName val="0"/>
          <c:showSerName val="0"/>
          <c:showPercent val="0"/>
          <c:showBubbleSize val="0"/>
        </c:dLbls>
        <c:marker val="1"/>
        <c:smooth val="0"/>
        <c:axId val="241588800"/>
        <c:axId val="241589192"/>
      </c:lineChart>
      <c:catAx>
        <c:axId val="241588800"/>
        <c:scaling>
          <c:orientation val="minMax"/>
        </c:scaling>
        <c:delete val="0"/>
        <c:axPos val="b"/>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400">
                    <a:latin typeface="+mn-lt"/>
                  </a:rPr>
                  <a:t>Sieve</a:t>
                </a:r>
              </a:p>
            </c:rich>
          </c:tx>
          <c:layout>
            <c:manualLayout>
              <c:xMode val="edge"/>
              <c:yMode val="edge"/>
              <c:x val="0.50819770104914164"/>
              <c:y val="0.9085883926242833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975" b="1" i="0" u="none" strike="noStrike" baseline="0">
                <a:solidFill>
                  <a:srgbClr val="000000"/>
                </a:solidFill>
                <a:latin typeface="+mn-lt"/>
                <a:ea typeface="Arial"/>
                <a:cs typeface="Arial"/>
              </a:defRPr>
            </a:pPr>
            <a:endParaRPr lang="en-US"/>
          </a:p>
        </c:txPr>
        <c:crossAx val="241589192"/>
        <c:crosses val="autoZero"/>
        <c:auto val="0"/>
        <c:lblAlgn val="ctr"/>
        <c:lblOffset val="100"/>
        <c:tickLblSkip val="1"/>
        <c:tickMarkSkip val="1"/>
        <c:noMultiLvlLbl val="0"/>
      </c:catAx>
      <c:valAx>
        <c:axId val="241589192"/>
        <c:scaling>
          <c:orientation val="minMax"/>
        </c:scaling>
        <c:delete val="0"/>
        <c:axPos val="l"/>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Retained, % Vol</a:t>
                </a:r>
              </a:p>
            </c:rich>
          </c:tx>
          <c:layout>
            <c:manualLayout>
              <c:xMode val="edge"/>
              <c:yMode val="edge"/>
              <c:x val="9.1075388429631889E-3"/>
              <c:y val="0.26038809630825743"/>
            </c:manualLayout>
          </c:layout>
          <c:overlay val="0"/>
          <c:spPr>
            <a:noFill/>
            <a:ln w="25400">
              <a:noFill/>
            </a:ln>
          </c:spPr>
        </c:title>
        <c:numFmt formatCode="0;[Red]0" sourceLinked="0"/>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Arial"/>
                <a:ea typeface="Arial"/>
                <a:cs typeface="Arial"/>
              </a:defRPr>
            </a:pPr>
            <a:endParaRPr lang="en-US"/>
          </a:p>
        </c:txPr>
        <c:crossAx val="241588800"/>
        <c:crosses val="autoZero"/>
        <c:crossBetween val="midCat"/>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t>Shilstone Chart</a:t>
            </a:r>
          </a:p>
        </c:rich>
      </c:tx>
      <c:overlay val="1"/>
    </c:title>
    <c:autoTitleDeleted val="0"/>
    <c:plotArea>
      <c:layout>
        <c:manualLayout>
          <c:layoutTarget val="inner"/>
          <c:xMode val="edge"/>
          <c:yMode val="edge"/>
          <c:x val="0.13913342082239721"/>
          <c:y val="0.16388910761154857"/>
          <c:w val="0.80036773188482269"/>
          <c:h val="0.67816282261029159"/>
        </c:manualLayout>
      </c:layout>
      <c:scatterChart>
        <c:scatterStyle val="lineMarker"/>
        <c:varyColors val="0"/>
        <c:ser>
          <c:idx val="0"/>
          <c:order val="0"/>
          <c:spPr>
            <a:ln w="25400">
              <a:solidFill>
                <a:srgbClr val="000000"/>
              </a:solidFill>
              <a:prstDash val="solid"/>
            </a:ln>
          </c:spPr>
          <c:marker>
            <c:symbol val="none"/>
          </c:marker>
          <c:xVal>
            <c:numRef>
              <c:f>'5 Agg Analysis'!$C$45:$C$46</c:f>
              <c:numCache>
                <c:formatCode>General</c:formatCode>
                <c:ptCount val="2"/>
                <c:pt idx="0">
                  <c:v>100</c:v>
                </c:pt>
                <c:pt idx="1">
                  <c:v>35</c:v>
                </c:pt>
              </c:numCache>
            </c:numRef>
          </c:xVal>
          <c:yVal>
            <c:numRef>
              <c:f>'5 Agg Analysis'!$D$45:$D$46</c:f>
              <c:numCache>
                <c:formatCode>General</c:formatCode>
                <c:ptCount val="2"/>
                <c:pt idx="0">
                  <c:v>36</c:v>
                </c:pt>
                <c:pt idx="1">
                  <c:v>45</c:v>
                </c:pt>
              </c:numCache>
            </c:numRef>
          </c:yVal>
          <c:smooth val="0"/>
          <c:extLst>
            <c:ext xmlns:c16="http://schemas.microsoft.com/office/drawing/2014/chart" uri="{C3380CC4-5D6E-409C-BE32-E72D297353CC}">
              <c16:uniqueId val="{00000000-07F4-4B6A-8C3E-8C9D093A3E05}"/>
            </c:ext>
          </c:extLst>
        </c:ser>
        <c:ser>
          <c:idx val="1"/>
          <c:order val="1"/>
          <c:spPr>
            <a:ln w="25400">
              <a:solidFill>
                <a:srgbClr val="000000"/>
              </a:solidFill>
              <a:prstDash val="solid"/>
            </a:ln>
          </c:spPr>
          <c:marker>
            <c:symbol val="none"/>
          </c:marker>
          <c:xVal>
            <c:numRef>
              <c:f>'5 Agg Analysis'!$C$47:$C$50</c:f>
              <c:numCache>
                <c:formatCode>General</c:formatCode>
                <c:ptCount val="4"/>
                <c:pt idx="0">
                  <c:v>100</c:v>
                </c:pt>
                <c:pt idx="1">
                  <c:v>85</c:v>
                </c:pt>
                <c:pt idx="2">
                  <c:v>15</c:v>
                </c:pt>
                <c:pt idx="3">
                  <c:v>0</c:v>
                </c:pt>
              </c:numCache>
            </c:numRef>
          </c:xVal>
          <c:yVal>
            <c:numRef>
              <c:f>'5 Agg Analysis'!$D$47:$D$50</c:f>
              <c:numCache>
                <c:formatCode>General</c:formatCode>
                <c:ptCount val="4"/>
                <c:pt idx="0">
                  <c:v>27</c:v>
                </c:pt>
                <c:pt idx="1">
                  <c:v>27</c:v>
                </c:pt>
                <c:pt idx="2">
                  <c:v>37</c:v>
                </c:pt>
                <c:pt idx="3">
                  <c:v>37</c:v>
                </c:pt>
              </c:numCache>
            </c:numRef>
          </c:yVal>
          <c:smooth val="0"/>
          <c:extLst>
            <c:ext xmlns:c16="http://schemas.microsoft.com/office/drawing/2014/chart" uri="{C3380CC4-5D6E-409C-BE32-E72D297353CC}">
              <c16:uniqueId val="{00000001-07F4-4B6A-8C3E-8C9D093A3E05}"/>
            </c:ext>
          </c:extLst>
        </c:ser>
        <c:ser>
          <c:idx val="2"/>
          <c:order val="2"/>
          <c:spPr>
            <a:ln w="25400">
              <a:solidFill>
                <a:srgbClr val="000000"/>
              </a:solidFill>
              <a:prstDash val="solid"/>
            </a:ln>
          </c:spPr>
          <c:marker>
            <c:symbol val="none"/>
          </c:marker>
          <c:xVal>
            <c:numRef>
              <c:f>'5 Agg Analysis'!$C$51:$C$52</c:f>
              <c:numCache>
                <c:formatCode>General</c:formatCode>
                <c:ptCount val="2"/>
                <c:pt idx="0">
                  <c:v>75</c:v>
                </c:pt>
                <c:pt idx="1">
                  <c:v>75</c:v>
                </c:pt>
              </c:numCache>
            </c:numRef>
          </c:xVal>
          <c:yVal>
            <c:numRef>
              <c:f>'5 Agg Analysis'!$D$51:$D$52</c:f>
              <c:numCache>
                <c:formatCode>0.00</c:formatCode>
                <c:ptCount val="2"/>
                <c:pt idx="0">
                  <c:v>28.428571428571427</c:v>
                </c:pt>
                <c:pt idx="1">
                  <c:v>39.46153846153846</c:v>
                </c:pt>
              </c:numCache>
            </c:numRef>
          </c:yVal>
          <c:smooth val="0"/>
          <c:extLst>
            <c:ext xmlns:c16="http://schemas.microsoft.com/office/drawing/2014/chart" uri="{C3380CC4-5D6E-409C-BE32-E72D297353CC}">
              <c16:uniqueId val="{00000002-07F4-4B6A-8C3E-8C9D093A3E05}"/>
            </c:ext>
          </c:extLst>
        </c:ser>
        <c:ser>
          <c:idx val="3"/>
          <c:order val="3"/>
          <c:spPr>
            <a:ln w="25400">
              <a:solidFill>
                <a:srgbClr val="000000"/>
              </a:solidFill>
              <a:prstDash val="solid"/>
            </a:ln>
          </c:spPr>
          <c:marker>
            <c:symbol val="none"/>
          </c:marker>
          <c:xVal>
            <c:numRef>
              <c:f>'5 Agg Analysis'!$C$53:$C$54</c:f>
              <c:numCache>
                <c:formatCode>General</c:formatCode>
                <c:ptCount val="2"/>
                <c:pt idx="0">
                  <c:v>45</c:v>
                </c:pt>
                <c:pt idx="1">
                  <c:v>45</c:v>
                </c:pt>
              </c:numCache>
            </c:numRef>
          </c:xVal>
          <c:yVal>
            <c:numRef>
              <c:f>'5 Agg Analysis'!$D$53:$D$54</c:f>
              <c:numCache>
                <c:formatCode>0.00</c:formatCode>
                <c:ptCount val="2"/>
                <c:pt idx="0">
                  <c:v>32.714285714285715</c:v>
                </c:pt>
                <c:pt idx="1">
                  <c:v>43.615384615384613</c:v>
                </c:pt>
              </c:numCache>
            </c:numRef>
          </c:yVal>
          <c:smooth val="0"/>
          <c:extLst>
            <c:ext xmlns:c16="http://schemas.microsoft.com/office/drawing/2014/chart" uri="{C3380CC4-5D6E-409C-BE32-E72D297353CC}">
              <c16:uniqueId val="{00000003-07F4-4B6A-8C3E-8C9D093A3E05}"/>
            </c:ext>
          </c:extLst>
        </c:ser>
        <c:ser>
          <c:idx val="4"/>
          <c:order val="4"/>
          <c:spPr>
            <a:ln w="12700">
              <a:solidFill>
                <a:srgbClr val="800080"/>
              </a:solidFill>
              <a:prstDash val="solid"/>
            </a:ln>
          </c:spPr>
          <c:marker>
            <c:symbol val="circle"/>
            <c:size val="10"/>
            <c:spPr>
              <a:solidFill>
                <a:srgbClr val="FF0000"/>
              </a:solidFill>
              <a:ln>
                <a:solidFill>
                  <a:srgbClr val="000000"/>
                </a:solidFill>
                <a:prstDash val="solid"/>
              </a:ln>
            </c:spPr>
          </c:marker>
          <c:xVal>
            <c:numRef>
              <c:f>Data_Charts!$J$4</c:f>
              <c:numCache>
                <c:formatCode>0.00;[Red]0.00</c:formatCode>
                <c:ptCount val="1"/>
                <c:pt idx="0">
                  <c:v>0</c:v>
                </c:pt>
              </c:numCache>
            </c:numRef>
          </c:xVal>
          <c:yVal>
            <c:numRef>
              <c:f>Data_Charts!$J$5</c:f>
              <c:numCache>
                <c:formatCode>0.00;[Red]0.00</c:formatCode>
                <c:ptCount val="1"/>
                <c:pt idx="0">
                  <c:v>0</c:v>
                </c:pt>
              </c:numCache>
            </c:numRef>
          </c:yVal>
          <c:smooth val="0"/>
          <c:extLst>
            <c:ext xmlns:c16="http://schemas.microsoft.com/office/drawing/2014/chart" uri="{C3380CC4-5D6E-409C-BE32-E72D297353CC}">
              <c16:uniqueId val="{00000004-07F4-4B6A-8C3E-8C9D093A3E05}"/>
            </c:ext>
          </c:extLst>
        </c:ser>
        <c:dLbls>
          <c:showLegendKey val="0"/>
          <c:showVal val="0"/>
          <c:showCatName val="0"/>
          <c:showSerName val="0"/>
          <c:showPercent val="0"/>
          <c:showBubbleSize val="0"/>
        </c:dLbls>
        <c:axId val="242648352"/>
        <c:axId val="242648744"/>
      </c:scatterChart>
      <c:valAx>
        <c:axId val="242648352"/>
        <c:scaling>
          <c:orientation val="maxMin"/>
          <c:max val="100"/>
          <c:min val="0"/>
        </c:scaling>
        <c:delete val="0"/>
        <c:axPos val="b"/>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Coarseness Factor</a:t>
                </a:r>
              </a:p>
            </c:rich>
          </c:tx>
          <c:layout>
            <c:manualLayout>
              <c:xMode val="edge"/>
              <c:yMode val="edge"/>
              <c:x val="0.4084460333823175"/>
              <c:y val="0.93745445667071747"/>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100" b="1" i="0" u="none" strike="noStrike" baseline="0">
                <a:solidFill>
                  <a:srgbClr val="000000"/>
                </a:solidFill>
                <a:latin typeface="Arial"/>
                <a:ea typeface="Arial"/>
                <a:cs typeface="Arial"/>
              </a:defRPr>
            </a:pPr>
            <a:endParaRPr lang="en-US"/>
          </a:p>
        </c:txPr>
        <c:crossAx val="242648744"/>
        <c:crosses val="autoZero"/>
        <c:crossBetween val="midCat"/>
        <c:minorUnit val="10"/>
      </c:valAx>
      <c:valAx>
        <c:axId val="242648744"/>
        <c:scaling>
          <c:orientation val="minMax"/>
          <c:max val="45"/>
          <c:min val="20"/>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Workability Factor</a:t>
                </a:r>
              </a:p>
            </c:rich>
          </c:tx>
          <c:layout>
            <c:manualLayout>
              <c:xMode val="edge"/>
              <c:yMode val="edge"/>
              <c:x val="3.856322973555882E-2"/>
              <c:y val="0.332184692558250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1" i="0" u="none" strike="noStrike" baseline="0">
                <a:solidFill>
                  <a:srgbClr val="000000"/>
                </a:solidFill>
                <a:latin typeface="Arial"/>
                <a:ea typeface="Arial"/>
                <a:cs typeface="Arial"/>
              </a:defRPr>
            </a:pPr>
            <a:endParaRPr lang="en-US"/>
          </a:p>
        </c:txPr>
        <c:crossAx val="242648352"/>
        <c:crosses val="max"/>
        <c:crossBetween val="midCat"/>
      </c:valAx>
      <c:spPr>
        <a:noFill/>
        <a:ln w="254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1"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userShapes r:id="rId1"/>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Optimize Tool'!Q11"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Optimize Tool'!R11"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1.png"/><Relationship Id="rId5" Type="http://schemas.openxmlformats.org/officeDocument/2006/relationships/chart" Target="../charts/chart10.xml"/><Relationship Id="rId4"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476249</xdr:colOff>
      <xdr:row>0</xdr:row>
      <xdr:rowOff>70484</xdr:rowOff>
    </xdr:from>
    <xdr:to>
      <xdr:col>15</xdr:col>
      <xdr:colOff>135254</xdr:colOff>
      <xdr:row>8</xdr:row>
      <xdr:rowOff>31622</xdr:rowOff>
    </xdr:to>
    <xdr:pic>
      <xdr:nvPicPr>
        <xdr:cNvPr id="2" name="Picture 1" descr="Picture of the WisDOT logo C:">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7419974" y="70484"/>
          <a:ext cx="1487805" cy="1475613"/>
        </a:xfrm>
        <a:prstGeom prst="ellipse">
          <a:avLst/>
        </a:prstGeom>
        <a:ln>
          <a:noFill/>
        </a:ln>
        <a:effectLst/>
      </xdr:spPr>
    </xdr:pic>
    <xdr:clientData/>
  </xdr:twoCellAnchor>
  <xdr:oneCellAnchor>
    <xdr:from>
      <xdr:col>3</xdr:col>
      <xdr:colOff>0</xdr:colOff>
      <xdr:row>117</xdr:row>
      <xdr:rowOff>0</xdr:rowOff>
    </xdr:from>
    <xdr:ext cx="3295650" cy="82867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457325" y="21288375"/>
          <a:ext cx="3295650" cy="82867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lgn="l"/>
          <a:r>
            <a:rPr lang="en-US" sz="1100" b="0">
              <a:solidFill>
                <a:srgbClr val="C00000"/>
              </a:solidFill>
            </a:rPr>
            <a:t>This is the Official version to be used on Wisconsin DOT projects when seeking approval for combined aggregate gradation and combined mixtures. </a:t>
          </a:r>
        </a:p>
      </xdr:txBody>
    </xdr:sp>
    <xdr:clientData/>
  </xdr:oneCellAnchor>
  <xdr:oneCellAnchor>
    <xdr:from>
      <xdr:col>9</xdr:col>
      <xdr:colOff>0</xdr:colOff>
      <xdr:row>116</xdr:row>
      <xdr:rowOff>0</xdr:rowOff>
    </xdr:from>
    <xdr:ext cx="3295650" cy="2686050"/>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114925" y="21431250"/>
          <a:ext cx="3295650" cy="268605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lgn="l"/>
          <a:r>
            <a:rPr lang="en-US" sz="1100" b="0">
              <a:solidFill>
                <a:srgbClr val="C00000"/>
              </a:solidFill>
              <a:effectLst/>
              <a:latin typeface="+mn-lt"/>
              <a:ea typeface="+mn-ea"/>
              <a:cs typeface="+mn-cs"/>
            </a:rPr>
            <a:t>This publication is intended solely for use by professional personnel who are competent to evaluate the significance and limitations of the information provided herein and who will accept total responsibility for the application of this information. Any opinions, findings, and conclusions or recommendations expressed in this material do not necessarily reflect the views of the Wisconsin</a:t>
          </a:r>
          <a:r>
            <a:rPr lang="en-US" sz="1100" b="0" baseline="0">
              <a:solidFill>
                <a:srgbClr val="C00000"/>
              </a:solidFill>
              <a:effectLst/>
              <a:latin typeface="+mn-lt"/>
              <a:ea typeface="+mn-ea"/>
              <a:cs typeface="+mn-cs"/>
            </a:rPr>
            <a:t> Department of Transportation</a:t>
          </a:r>
          <a:r>
            <a:rPr lang="en-US" sz="1100" b="0">
              <a:solidFill>
                <a:srgbClr val="C00000"/>
              </a:solidFill>
              <a:effectLst/>
              <a:latin typeface="+mn-lt"/>
              <a:ea typeface="+mn-ea"/>
              <a:cs typeface="+mn-cs"/>
            </a:rPr>
            <a:t>.</a:t>
          </a:r>
        </a:p>
        <a:p>
          <a:pPr lvl="0" algn="l"/>
          <a:endParaRPr lang="en-US" sz="1100" b="0">
            <a:solidFill>
              <a:srgbClr val="C00000"/>
            </a:solidFill>
            <a:effectLst/>
            <a:latin typeface="+mn-lt"/>
            <a:ea typeface="+mn-ea"/>
            <a:cs typeface="+mn-cs"/>
          </a:endParaRPr>
        </a:p>
        <a:p>
          <a:pPr lvl="0" algn="l"/>
          <a:r>
            <a:rPr lang="en-US" sz="1100" b="0">
              <a:solidFill>
                <a:srgbClr val="C00000"/>
              </a:solidFill>
              <a:effectLst/>
              <a:latin typeface="+mn-lt"/>
              <a:ea typeface="+mn-ea"/>
              <a:cs typeface="+mn-cs"/>
            </a:rPr>
            <a:t>Wisconsin</a:t>
          </a:r>
          <a:r>
            <a:rPr lang="en-US" sz="1100" b="0" baseline="0">
              <a:solidFill>
                <a:srgbClr val="C00000"/>
              </a:solidFill>
              <a:effectLst/>
              <a:latin typeface="+mn-lt"/>
              <a:ea typeface="+mn-ea"/>
              <a:cs typeface="+mn-cs"/>
            </a:rPr>
            <a:t> Department of Transportation</a:t>
          </a:r>
          <a:r>
            <a:rPr lang="en-US" sz="1100" b="0">
              <a:solidFill>
                <a:srgbClr val="C00000"/>
              </a:solidFill>
              <a:effectLst/>
              <a:latin typeface="+mn-lt"/>
              <a:ea typeface="+mn-ea"/>
              <a:cs typeface="+mn-cs"/>
            </a:rPr>
            <a:t> and the authors make no representations or warranties, expressed or implied, as to the accuracy of any information or computations herein and disclaim liability for any inaccuracies.</a:t>
          </a:r>
        </a:p>
        <a:p>
          <a:endParaRPr lang="en-US" sz="1100" b="0">
            <a:solidFill>
              <a:srgbClr val="C00000"/>
            </a:solidFill>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134409</xdr:colOff>
      <xdr:row>2</xdr:row>
      <xdr:rowOff>95250</xdr:rowOff>
    </xdr:from>
    <xdr:to>
      <xdr:col>1</xdr:col>
      <xdr:colOff>116417</xdr:colOff>
      <xdr:row>7</xdr:row>
      <xdr:rowOff>169756</xdr:rowOff>
    </xdr:to>
    <xdr:pic>
      <xdr:nvPicPr>
        <xdr:cNvPr id="3" name="Picture 2" descr="Picture of WisDOT Logo">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cstate="print"/>
        <a:srcRect/>
        <a:stretch>
          <a:fillRect/>
        </a:stretch>
      </xdr:blipFill>
      <xdr:spPr bwMode="auto">
        <a:xfrm>
          <a:off x="134409" y="95250"/>
          <a:ext cx="1146175" cy="1093258"/>
        </a:xfrm>
        <a:prstGeom prst="ellipse">
          <a:avLst/>
        </a:prstGeom>
        <a:ln>
          <a:noFill/>
        </a:ln>
        <a:effectLst/>
      </xdr:spPr>
    </xdr:pic>
    <xdr:clientData/>
  </xdr:twoCellAnchor>
  <xdr:twoCellAnchor>
    <xdr:from>
      <xdr:col>0</xdr:col>
      <xdr:colOff>0</xdr:colOff>
      <xdr:row>8</xdr:row>
      <xdr:rowOff>0</xdr:rowOff>
    </xdr:from>
    <xdr:to>
      <xdr:col>5</xdr:col>
      <xdr:colOff>817246</xdr:colOff>
      <xdr:row>23</xdr:row>
      <xdr:rowOff>149856</xdr:rowOff>
    </xdr:to>
    <xdr:graphicFrame macro="">
      <xdr:nvGraphicFramePr>
        <xdr:cNvPr id="17" name="Chart 2" descr="Aggregate Gradation Combined Percent Passing">
          <a:extLst>
            <a:ext uri="{FF2B5EF4-FFF2-40B4-BE49-F238E27FC236}">
              <a16:creationId xmlns:a16="http://schemas.microsoft.com/office/drawing/2014/main" id="{00000000-0008-0000-0700-000011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xdr:row>
      <xdr:rowOff>0</xdr:rowOff>
    </xdr:from>
    <xdr:to>
      <xdr:col>5</xdr:col>
      <xdr:colOff>815340</xdr:colOff>
      <xdr:row>41</xdr:row>
      <xdr:rowOff>88394</xdr:rowOff>
    </xdr:to>
    <xdr:graphicFrame macro="">
      <xdr:nvGraphicFramePr>
        <xdr:cNvPr id="18" name="Chart 17" descr="Tarantula Curve Graph">
          <a:extLst>
            <a:ext uri="{FF2B5EF4-FFF2-40B4-BE49-F238E27FC236}">
              <a16:creationId xmlns:a16="http://schemas.microsoft.com/office/drawing/2014/main" id="{00000000-0008-0000-0700-00001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8</xdr:row>
      <xdr:rowOff>0</xdr:rowOff>
    </xdr:from>
    <xdr:to>
      <xdr:col>10</xdr:col>
      <xdr:colOff>1755351</xdr:colOff>
      <xdr:row>25</xdr:row>
      <xdr:rowOff>98013</xdr:rowOff>
    </xdr:to>
    <xdr:graphicFrame macro="">
      <xdr:nvGraphicFramePr>
        <xdr:cNvPr id="21" name="Chart 48" descr="Shilstone Chart">
          <a:extLst>
            <a:ext uri="{FF2B5EF4-FFF2-40B4-BE49-F238E27FC236}">
              <a16:creationId xmlns:a16="http://schemas.microsoft.com/office/drawing/2014/main" id="{00000000-0008-0000-0700-00001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26</xdr:row>
      <xdr:rowOff>0</xdr:rowOff>
    </xdr:from>
    <xdr:to>
      <xdr:col>11</xdr:col>
      <xdr:colOff>242250</xdr:colOff>
      <xdr:row>41</xdr:row>
      <xdr:rowOff>99866</xdr:rowOff>
    </xdr:to>
    <xdr:graphicFrame macro="">
      <xdr:nvGraphicFramePr>
        <xdr:cNvPr id="22" name="Chart 2" descr="Aggregate Gradation Percent Retained by Weight Graph">
          <a:extLst>
            <a:ext uri="{FF2B5EF4-FFF2-40B4-BE49-F238E27FC236}">
              <a16:creationId xmlns:a16="http://schemas.microsoft.com/office/drawing/2014/main" id="{00000000-0008-0000-0700-00001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0.18702</cdr:x>
      <cdr:y>0.17399</cdr:y>
    </cdr:from>
    <cdr:to>
      <cdr:x>0.93207</cdr:x>
      <cdr:y>0.68998</cdr:y>
    </cdr:to>
    <cdr:grpSp>
      <cdr:nvGrpSpPr>
        <cdr:cNvPr id="11" name="Group 6">
          <a:extLst xmlns:a="http://schemas.openxmlformats.org/drawingml/2006/main">
            <a:ext uri="{FF2B5EF4-FFF2-40B4-BE49-F238E27FC236}">
              <a16:creationId xmlns:a16="http://schemas.microsoft.com/office/drawing/2014/main" id="{0E4FCCD0-3CD7-4F05-A24E-71AE32D7134F}"/>
            </a:ext>
          </a:extLst>
        </cdr:cNvPr>
        <cdr:cNvGrpSpPr>
          <a:grpSpLocks xmlns:a="http://schemas.openxmlformats.org/drawingml/2006/main"/>
        </cdr:cNvGrpSpPr>
      </cdr:nvGrpSpPr>
      <cdr:grpSpPr bwMode="auto">
        <a:xfrm xmlns:a="http://schemas.openxmlformats.org/drawingml/2006/main">
          <a:off x="1024998" y="626923"/>
          <a:ext cx="4083383" cy="1859222"/>
          <a:chOff x="941969" y="572350"/>
          <a:chExt cx="3943811" cy="1838580"/>
        </a:xfrm>
      </cdr:grpSpPr>
      <cdr:sp macro="" textlink="">
        <cdr:nvSpPr>
          <cdr:cNvPr id="7169" name="Text Box 1">
            <a:extLst xmlns:a="http://schemas.openxmlformats.org/drawingml/2006/main">
              <a:ext uri="{FF2B5EF4-FFF2-40B4-BE49-F238E27FC236}">
                <a16:creationId xmlns:a16="http://schemas.microsoft.com/office/drawing/2014/main" id="{B2DA4A69-AEE3-45DC-B510-BA859FC9D5B6}"/>
              </a:ext>
            </a:extLst>
          </cdr:cNvPr>
          <cdr:cNvSpPr txBox="1">
            <a:spLocks xmlns:a="http://schemas.openxmlformats.org/drawingml/2006/main" noChangeArrowheads="1"/>
          </cdr:cNvSpPr>
        </cdr:nvSpPr>
        <cdr:spPr bwMode="auto">
          <a:xfrm xmlns:a="http://schemas.openxmlformats.org/drawingml/2006/main">
            <a:off x="941969" y="592684"/>
            <a:ext cx="466744" cy="38247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ctr" rtl="0">
              <a:defRPr sz="1000"/>
            </a:pPr>
            <a:r>
              <a:rPr lang="en-US" sz="1200" b="1" i="0" u="none" strike="noStrike" baseline="0">
                <a:solidFill>
                  <a:srgbClr val="000000"/>
                </a:solidFill>
                <a:latin typeface="Arial"/>
                <a:cs typeface="Arial"/>
              </a:rPr>
              <a:t>IV</a:t>
            </a:r>
            <a:br>
              <a:rPr lang="en-US" sz="1200" b="1" i="0" u="none" strike="noStrike" baseline="0">
                <a:solidFill>
                  <a:srgbClr val="000000"/>
                </a:solidFill>
                <a:latin typeface="Arial"/>
                <a:cs typeface="Arial"/>
              </a:rPr>
            </a:br>
            <a:r>
              <a:rPr lang="en-US" sz="1200" b="1" i="0" u="none" strike="noStrike" baseline="0">
                <a:solidFill>
                  <a:srgbClr val="000000"/>
                </a:solidFill>
                <a:latin typeface="Arial"/>
                <a:cs typeface="Arial"/>
              </a:rPr>
              <a:t>Sandy</a:t>
            </a:r>
            <a:endParaRPr lang="en-US"/>
          </a:p>
        </cdr:txBody>
      </cdr:sp>
      <cdr:sp macro="" textlink="">
        <cdr:nvSpPr>
          <cdr:cNvPr id="7170" name="Text Box 2">
            <a:extLst xmlns:a="http://schemas.openxmlformats.org/drawingml/2006/main">
              <a:ext uri="{FF2B5EF4-FFF2-40B4-BE49-F238E27FC236}">
                <a16:creationId xmlns:a16="http://schemas.microsoft.com/office/drawing/2014/main" id="{CFA21250-7080-48F1-BD0D-885793E19CB7}"/>
              </a:ext>
            </a:extLst>
          </cdr:cNvPr>
          <cdr:cNvSpPr txBox="1">
            <a:spLocks xmlns:a="http://schemas.openxmlformats.org/drawingml/2006/main" noChangeArrowheads="1"/>
          </cdr:cNvSpPr>
        </cdr:nvSpPr>
        <cdr:spPr bwMode="auto">
          <a:xfrm xmlns:a="http://schemas.openxmlformats.org/drawingml/2006/main">
            <a:off x="995502" y="1549605"/>
            <a:ext cx="311774" cy="38247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ctr" rtl="0">
              <a:defRPr sz="1000"/>
            </a:pPr>
            <a:r>
              <a:rPr lang="en-US" sz="1200" b="1" i="0" u="none" strike="noStrike" baseline="0">
                <a:solidFill>
                  <a:srgbClr val="000000"/>
                </a:solidFill>
                <a:latin typeface="Arial"/>
                <a:cs typeface="Arial"/>
              </a:rPr>
              <a:t>I</a:t>
            </a:r>
            <a:br>
              <a:rPr lang="en-US" sz="1200" b="1" i="0" u="none" strike="noStrike" baseline="0">
                <a:solidFill>
                  <a:srgbClr val="000000"/>
                </a:solidFill>
                <a:latin typeface="Arial"/>
                <a:cs typeface="Arial"/>
              </a:rPr>
            </a:br>
            <a:r>
              <a:rPr lang="en-US" sz="1200" b="1" i="0" u="none" strike="noStrike" baseline="0">
                <a:solidFill>
                  <a:srgbClr val="000000"/>
                </a:solidFill>
                <a:latin typeface="Arial"/>
                <a:cs typeface="Arial"/>
              </a:rPr>
              <a:t>Gap</a:t>
            </a:r>
            <a:endParaRPr lang="en-US"/>
          </a:p>
        </cdr:txBody>
      </cdr:sp>
      <cdr:sp macro="" textlink="">
        <cdr:nvSpPr>
          <cdr:cNvPr id="7171" name="Text Box 3">
            <a:extLst xmlns:a="http://schemas.openxmlformats.org/drawingml/2006/main">
              <a:ext uri="{FF2B5EF4-FFF2-40B4-BE49-F238E27FC236}">
                <a16:creationId xmlns:a16="http://schemas.microsoft.com/office/drawing/2014/main" id="{19A05013-3A06-4817-8F2C-E23627CC571B}"/>
              </a:ext>
            </a:extLst>
          </cdr:cNvPr>
          <cdr:cNvSpPr txBox="1">
            <a:spLocks xmlns:a="http://schemas.openxmlformats.org/drawingml/2006/main" noChangeArrowheads="1"/>
          </cdr:cNvSpPr>
        </cdr:nvSpPr>
        <cdr:spPr bwMode="auto">
          <a:xfrm xmlns:a="http://schemas.openxmlformats.org/drawingml/2006/main">
            <a:off x="2783338" y="789406"/>
            <a:ext cx="87361" cy="1678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en-US" sz="1200" b="1" i="0" u="none" strike="noStrike" baseline="0">
                <a:solidFill>
                  <a:srgbClr val="000000"/>
                </a:solidFill>
                <a:latin typeface="Arial"/>
                <a:cs typeface="Arial"/>
              </a:rPr>
              <a:t>II</a:t>
            </a:r>
            <a:endParaRPr lang="en-US"/>
          </a:p>
        </cdr:txBody>
      </cdr:sp>
      <cdr:sp macro="" textlink="">
        <cdr:nvSpPr>
          <cdr:cNvPr id="7172" name="Text Box 4">
            <a:extLst xmlns:a="http://schemas.openxmlformats.org/drawingml/2006/main">
              <a:ext uri="{FF2B5EF4-FFF2-40B4-BE49-F238E27FC236}">
                <a16:creationId xmlns:a16="http://schemas.microsoft.com/office/drawing/2014/main" id="{ACE23670-9D16-4924-80EC-B7CAD4BA6C4A}"/>
              </a:ext>
            </a:extLst>
          </cdr:cNvPr>
          <cdr:cNvSpPr txBox="1">
            <a:spLocks xmlns:a="http://schemas.openxmlformats.org/drawingml/2006/main" noChangeArrowheads="1"/>
          </cdr:cNvSpPr>
        </cdr:nvSpPr>
        <cdr:spPr bwMode="auto">
          <a:xfrm xmlns:a="http://schemas.openxmlformats.org/drawingml/2006/main">
            <a:off x="4141925" y="572350"/>
            <a:ext cx="743855" cy="38247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ctr" rtl="0">
              <a:defRPr sz="1000"/>
            </a:pPr>
            <a:r>
              <a:rPr lang="en-US" sz="1200" b="1" i="0" u="none" strike="noStrike" baseline="0">
                <a:solidFill>
                  <a:srgbClr val="000000"/>
                </a:solidFill>
                <a:latin typeface="Arial"/>
                <a:cs typeface="Arial"/>
              </a:rPr>
              <a:t>III</a:t>
            </a:r>
            <a:br>
              <a:rPr lang="en-US" sz="1200" b="1" i="0" u="none" strike="noStrike" baseline="0">
                <a:solidFill>
                  <a:srgbClr val="000000"/>
                </a:solidFill>
                <a:latin typeface="Arial"/>
                <a:cs typeface="Arial"/>
              </a:rPr>
            </a:br>
            <a:r>
              <a:rPr lang="en-US" sz="1200" b="1" i="0" u="none" strike="noStrike" baseline="0">
                <a:solidFill>
                  <a:srgbClr val="000000"/>
                </a:solidFill>
                <a:latin typeface="Arial"/>
                <a:cs typeface="Arial"/>
              </a:rPr>
              <a:t>Small Agg</a:t>
            </a:r>
            <a:endParaRPr lang="en-US"/>
          </a:p>
        </cdr:txBody>
      </cdr:sp>
      <cdr:sp macro="" textlink="">
        <cdr:nvSpPr>
          <cdr:cNvPr id="7173" name="Text Box 5">
            <a:extLst xmlns:a="http://schemas.openxmlformats.org/drawingml/2006/main">
              <a:ext uri="{FF2B5EF4-FFF2-40B4-BE49-F238E27FC236}">
                <a16:creationId xmlns:a16="http://schemas.microsoft.com/office/drawing/2014/main" id="{5C04BF4D-5CCE-486C-B4C6-D8C273CD5413}"/>
              </a:ext>
            </a:extLst>
          </cdr:cNvPr>
          <cdr:cNvSpPr txBox="1">
            <a:spLocks xmlns:a="http://schemas.openxmlformats.org/drawingml/2006/main" noChangeArrowheads="1"/>
          </cdr:cNvSpPr>
        </cdr:nvSpPr>
        <cdr:spPr bwMode="auto">
          <a:xfrm xmlns:a="http://schemas.openxmlformats.org/drawingml/2006/main">
            <a:off x="3423902" y="2028455"/>
            <a:ext cx="523901" cy="38247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ctr" rtl="0">
              <a:defRPr sz="1000"/>
            </a:pPr>
            <a:r>
              <a:rPr lang="en-US" sz="1200" b="1" i="0" u="none" strike="noStrike" baseline="0">
                <a:solidFill>
                  <a:srgbClr val="000000"/>
                </a:solidFill>
                <a:latin typeface="Arial"/>
                <a:cs typeface="Arial"/>
              </a:rPr>
              <a:t>V</a:t>
            </a:r>
            <a:br>
              <a:rPr lang="en-US" sz="1200" b="1" i="0" u="none" strike="noStrike" baseline="0">
                <a:solidFill>
                  <a:srgbClr val="000000"/>
                </a:solidFill>
                <a:latin typeface="Arial"/>
                <a:cs typeface="Arial"/>
              </a:rPr>
            </a:br>
            <a:r>
              <a:rPr lang="en-US" sz="1200" b="1" i="0" u="none" strike="noStrike" baseline="0">
                <a:solidFill>
                  <a:srgbClr val="000000"/>
                </a:solidFill>
                <a:latin typeface="Arial"/>
                <a:cs typeface="Arial"/>
              </a:rPr>
              <a:t>Coarse</a:t>
            </a:r>
            <a:endParaRPr lang="en-US"/>
          </a:p>
        </cdr:txBody>
      </cdr:sp>
    </cdr:grpSp>
  </cdr:relSizeAnchor>
</c:userShapes>
</file>

<file path=xl/drawings/drawing12.xml><?xml version="1.0" encoding="utf-8"?>
<xdr:wsDr xmlns:xdr="http://schemas.openxmlformats.org/drawingml/2006/spreadsheetDrawing" xmlns:a="http://schemas.openxmlformats.org/drawingml/2006/main">
  <xdr:twoCellAnchor editAs="oneCell">
    <xdr:from>
      <xdr:col>7</xdr:col>
      <xdr:colOff>376684</xdr:colOff>
      <xdr:row>8</xdr:row>
      <xdr:rowOff>63756</xdr:rowOff>
    </xdr:from>
    <xdr:to>
      <xdr:col>10</xdr:col>
      <xdr:colOff>74520</xdr:colOff>
      <xdr:row>12</xdr:row>
      <xdr:rowOff>189633</xdr:rowOff>
    </xdr:to>
    <xdr:pic>
      <xdr:nvPicPr>
        <xdr:cNvPr id="2" name="Picture 1" descr="C:\Documents and Settings\DOTWXC.AD\My Documents\My Pictures\New Picture.bmp">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rcRect/>
        <a:stretch>
          <a:fillRect/>
        </a:stretch>
      </xdr:blipFill>
      <xdr:spPr bwMode="auto">
        <a:xfrm>
          <a:off x="4769390" y="1650509"/>
          <a:ext cx="997718" cy="923736"/>
        </a:xfrm>
        <a:prstGeom prst="ellipse">
          <a:avLst/>
        </a:prstGeom>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127</xdr:row>
      <xdr:rowOff>0</xdr:rowOff>
    </xdr:from>
    <xdr:to>
      <xdr:col>11</xdr:col>
      <xdr:colOff>8100</xdr:colOff>
      <xdr:row>131</xdr:row>
      <xdr:rowOff>22925</xdr:rowOff>
    </xdr:to>
    <xdr:pic>
      <xdr:nvPicPr>
        <xdr:cNvPr id="2" name="Picture 1">
          <a:extLst>
            <a:ext uri="{FF2B5EF4-FFF2-40B4-BE49-F238E27FC236}">
              <a16:creationId xmlns:a16="http://schemas.microsoft.com/office/drawing/2014/main" id="{91EC4C81-96A5-402C-AEE7-F25CFD66C6F8}"/>
            </a:ext>
          </a:extLst>
        </xdr:cNvPr>
        <xdr:cNvPicPr>
          <a:picLocks noChangeAspect="1"/>
        </xdr:cNvPicPr>
      </xdr:nvPicPr>
      <xdr:blipFill>
        <a:blip xmlns:r="http://schemas.openxmlformats.org/officeDocument/2006/relationships" r:embed="rId1"/>
        <a:stretch>
          <a:fillRect/>
        </a:stretch>
      </xdr:blipFill>
      <xdr:spPr>
        <a:xfrm>
          <a:off x="845820" y="24780240"/>
          <a:ext cx="5540220" cy="7544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494454</xdr:colOff>
      <xdr:row>0</xdr:row>
      <xdr:rowOff>132926</xdr:rowOff>
    </xdr:from>
    <xdr:to>
      <xdr:col>15</xdr:col>
      <xdr:colOff>136314</xdr:colOff>
      <xdr:row>8</xdr:row>
      <xdr:rowOff>94826</xdr:rowOff>
    </xdr:to>
    <xdr:pic>
      <xdr:nvPicPr>
        <xdr:cNvPr id="2" name="Picture 1" descr="Picture of WisDOT Logo">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7718214" y="132926"/>
          <a:ext cx="1463040" cy="1463040"/>
        </a:xfrm>
        <a:prstGeom prst="ellipse">
          <a:avLst/>
        </a:prstGeom>
        <a:ln>
          <a:noFill/>
        </a:ln>
        <a:effec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89</xdr:row>
          <xdr:rowOff>144780</xdr:rowOff>
        </xdr:from>
        <xdr:to>
          <xdr:col>2</xdr:col>
          <xdr:colOff>670560</xdr:colOff>
          <xdr:row>91</xdr:row>
          <xdr:rowOff>68580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Met Combined Gradation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2607</xdr:colOff>
          <xdr:row>119</xdr:row>
          <xdr:rowOff>20885</xdr:rowOff>
        </xdr:from>
        <xdr:to>
          <xdr:col>9</xdr:col>
          <xdr:colOff>293371</xdr:colOff>
          <xdr:row>121</xdr:row>
          <xdr:rowOff>161344</xdr:rowOff>
        </xdr:to>
        <xdr:grpSp>
          <xdr:nvGrpSpPr>
            <xdr:cNvPr id="2" name="Group 1" descr="Check the first box if SAM number is entered and within range&#10;Check second box if concrete grade is entered and correct&#10;Check third box if concrete class is entered and correct">
              <a:extLst>
                <a:ext uri="{FF2B5EF4-FFF2-40B4-BE49-F238E27FC236}">
                  <a16:creationId xmlns:a16="http://schemas.microsoft.com/office/drawing/2014/main" id="{00000000-0008-0000-0200-000002000000}"/>
                </a:ext>
              </a:extLst>
            </xdr:cNvPr>
            <xdr:cNvGrpSpPr/>
          </xdr:nvGrpSpPr>
          <xdr:grpSpPr>
            <a:xfrm>
              <a:off x="9367587" y="22484645"/>
              <a:ext cx="1502344" cy="536699"/>
              <a:chOff x="9466635" y="22911382"/>
              <a:chExt cx="1509963" cy="536667"/>
            </a:xfrm>
          </xdr:grpSpPr>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9466647" y="22911382"/>
                <a:ext cx="1091513" cy="1715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SAM Number</a:t>
                </a:r>
              </a:p>
            </xdr:txBody>
          </xdr:sp>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9466647" y="23095257"/>
                <a:ext cx="1126939" cy="1698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Concrete Grade</a:t>
                </a:r>
              </a:p>
            </xdr:txBody>
          </xdr:sp>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9466635" y="23277419"/>
                <a:ext cx="1509963" cy="1706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Concrete Class</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99060</xdr:rowOff>
        </xdr:from>
        <xdr:to>
          <xdr:col>3</xdr:col>
          <xdr:colOff>914400</xdr:colOff>
          <xdr:row>128</xdr:row>
          <xdr:rowOff>114300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Mix Designer's Request for SCM exemption (501.3.2.2.2)</a:t>
              </a:r>
            </a:p>
          </xdr:txBody>
        </xdr:sp>
        <xdr:clientData/>
      </xdr:twoCellAnchor>
    </mc:Choice>
    <mc:Fallback/>
  </mc:AlternateContent>
  <xdr:twoCellAnchor>
    <xdr:from>
      <xdr:col>1</xdr:col>
      <xdr:colOff>17145</xdr:colOff>
      <xdr:row>91</xdr:row>
      <xdr:rowOff>0</xdr:rowOff>
    </xdr:from>
    <xdr:to>
      <xdr:col>4</xdr:col>
      <xdr:colOff>1285876</xdr:colOff>
      <xdr:row>106</xdr:row>
      <xdr:rowOff>152400</xdr:rowOff>
    </xdr:to>
    <xdr:graphicFrame macro="">
      <xdr:nvGraphicFramePr>
        <xdr:cNvPr id="9" name="Chart 2" descr="Graph of the gradation curve">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38100</xdr:colOff>
          <xdr:row>38</xdr:row>
          <xdr:rowOff>0</xdr:rowOff>
        </xdr:from>
        <xdr:to>
          <xdr:col>4</xdr:col>
          <xdr:colOff>1028700</xdr:colOff>
          <xdr:row>38</xdr:row>
          <xdr:rowOff>182880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Type III Cement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38</xdr:row>
          <xdr:rowOff>30480</xdr:rowOff>
        </xdr:from>
        <xdr:to>
          <xdr:col>5</xdr:col>
          <xdr:colOff>899160</xdr:colOff>
          <xdr:row>38</xdr:row>
          <xdr:rowOff>175260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Additional Cement</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11</xdr:row>
          <xdr:rowOff>0</xdr:rowOff>
        </xdr:from>
        <xdr:to>
          <xdr:col>2</xdr:col>
          <xdr:colOff>129540</xdr:colOff>
          <xdr:row>12</xdr:row>
          <xdr:rowOff>22860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79E97152-1572-4EBB-B8B5-2B35005017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11</xdr:row>
          <xdr:rowOff>22860</xdr:rowOff>
        </xdr:from>
        <xdr:to>
          <xdr:col>2</xdr:col>
          <xdr:colOff>1143000</xdr:colOff>
          <xdr:row>12</xdr:row>
          <xdr:rowOff>15240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4723C5BA-0724-46DE-A26C-A1A4716E67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11</xdr:row>
          <xdr:rowOff>0</xdr:rowOff>
        </xdr:from>
        <xdr:to>
          <xdr:col>3</xdr:col>
          <xdr:colOff>929640</xdr:colOff>
          <xdr:row>12</xdr:row>
          <xdr:rowOff>22860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5FB111D4-BE9E-4FDA-AF9D-C9A96772D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11</xdr:row>
          <xdr:rowOff>22860</xdr:rowOff>
        </xdr:from>
        <xdr:to>
          <xdr:col>4</xdr:col>
          <xdr:colOff>647700</xdr:colOff>
          <xdr:row>12</xdr:row>
          <xdr:rowOff>15240</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9830240C-8498-4CD4-B43E-5713608109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11</xdr:row>
          <xdr:rowOff>0</xdr:rowOff>
        </xdr:from>
        <xdr:to>
          <xdr:col>5</xdr:col>
          <xdr:colOff>929640</xdr:colOff>
          <xdr:row>12</xdr:row>
          <xdr:rowOff>22860</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8878D53A-8D86-41B8-9DAE-2832785EAC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11</xdr:row>
          <xdr:rowOff>22860</xdr:rowOff>
        </xdr:from>
        <xdr:to>
          <xdr:col>6</xdr:col>
          <xdr:colOff>1059180</xdr:colOff>
          <xdr:row>12</xdr:row>
          <xdr:rowOff>15240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1E3EBD6E-99F9-46AE-AC95-D76BC3F0C6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xdr:row>
          <xdr:rowOff>7620</xdr:rowOff>
        </xdr:from>
        <xdr:to>
          <xdr:col>2</xdr:col>
          <xdr:colOff>1150620</xdr:colOff>
          <xdr:row>14</xdr:row>
          <xdr:rowOff>53340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A06E6FFF-29BB-4212-8C65-75F514CBF1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0</xdr:rowOff>
        </xdr:from>
        <xdr:to>
          <xdr:col>6</xdr:col>
          <xdr:colOff>1402080</xdr:colOff>
          <xdr:row>14</xdr:row>
          <xdr:rowOff>60960</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E3D39251-043A-4ADB-AC8E-B8FFDCEEEA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182880</xdr:rowOff>
        </xdr:from>
        <xdr:to>
          <xdr:col>2</xdr:col>
          <xdr:colOff>1165860</xdr:colOff>
          <xdr:row>15</xdr:row>
          <xdr:rowOff>76200</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9F0FC99B-9AA5-4731-B92F-2A07C4A045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14</xdr:row>
          <xdr:rowOff>0</xdr:rowOff>
        </xdr:from>
        <xdr:to>
          <xdr:col>6</xdr:col>
          <xdr:colOff>1402080</xdr:colOff>
          <xdr:row>15</xdr:row>
          <xdr:rowOff>60960</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24A58D3A-2F44-456F-9966-C06C74C726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xdr:row>
          <xdr:rowOff>7620</xdr:rowOff>
        </xdr:from>
        <xdr:to>
          <xdr:col>2</xdr:col>
          <xdr:colOff>1150620</xdr:colOff>
          <xdr:row>16</xdr:row>
          <xdr:rowOff>53340</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66A006BA-71FE-4E4C-8A86-8E03503774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15</xdr:row>
          <xdr:rowOff>0</xdr:rowOff>
        </xdr:from>
        <xdr:to>
          <xdr:col>6</xdr:col>
          <xdr:colOff>1402080</xdr:colOff>
          <xdr:row>16</xdr:row>
          <xdr:rowOff>60960</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F59E8E0C-F094-4219-A3FF-8DC696E5BF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7620</xdr:rowOff>
        </xdr:from>
        <xdr:to>
          <xdr:col>2</xdr:col>
          <xdr:colOff>1150620</xdr:colOff>
          <xdr:row>17</xdr:row>
          <xdr:rowOff>53340</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75851CC2-0831-4053-99C4-8E3E401B9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xdr:row>
          <xdr:rowOff>0</xdr:rowOff>
        </xdr:from>
        <xdr:to>
          <xdr:col>6</xdr:col>
          <xdr:colOff>1402080</xdr:colOff>
          <xdr:row>17</xdr:row>
          <xdr:rowOff>60960</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2AD112F2-69C0-48D8-947B-F05688FE0F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7620</xdr:rowOff>
        </xdr:from>
        <xdr:to>
          <xdr:col>2</xdr:col>
          <xdr:colOff>1150620</xdr:colOff>
          <xdr:row>18</xdr:row>
          <xdr:rowOff>53340</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B9ABA16B-9447-4093-9E60-24EB4C949A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17</xdr:row>
          <xdr:rowOff>0</xdr:rowOff>
        </xdr:from>
        <xdr:to>
          <xdr:col>6</xdr:col>
          <xdr:colOff>1402080</xdr:colOff>
          <xdr:row>18</xdr:row>
          <xdr:rowOff>60960</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5B7EB311-DAA8-4895-89EB-95FCB0870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xdr:row>
          <xdr:rowOff>7620</xdr:rowOff>
        </xdr:from>
        <xdr:to>
          <xdr:col>2</xdr:col>
          <xdr:colOff>1150620</xdr:colOff>
          <xdr:row>19</xdr:row>
          <xdr:rowOff>53340</xdr:rowOff>
        </xdr:to>
        <xdr:sp macro="" textlink="">
          <xdr:nvSpPr>
            <xdr:cNvPr id="35857" name="Check Box 17" hidden="1">
              <a:extLst>
                <a:ext uri="{63B3BB69-23CF-44E3-9099-C40C66FF867C}">
                  <a14:compatExt spid="_x0000_s35857"/>
                </a:ext>
                <a:ext uri="{FF2B5EF4-FFF2-40B4-BE49-F238E27FC236}">
                  <a16:creationId xmlns:a16="http://schemas.microsoft.com/office/drawing/2014/main" id="{B9E42BDE-21CC-41ED-990D-67000ACD3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18</xdr:row>
          <xdr:rowOff>0</xdr:rowOff>
        </xdr:from>
        <xdr:to>
          <xdr:col>6</xdr:col>
          <xdr:colOff>1402080</xdr:colOff>
          <xdr:row>19</xdr:row>
          <xdr:rowOff>60960</xdr:rowOff>
        </xdr:to>
        <xdr:sp macro="" textlink="">
          <xdr:nvSpPr>
            <xdr:cNvPr id="35858" name="Check Box 18" hidden="1">
              <a:extLst>
                <a:ext uri="{63B3BB69-23CF-44E3-9099-C40C66FF867C}">
                  <a14:compatExt spid="_x0000_s35858"/>
                </a:ext>
                <a:ext uri="{FF2B5EF4-FFF2-40B4-BE49-F238E27FC236}">
                  <a16:creationId xmlns:a16="http://schemas.microsoft.com/office/drawing/2014/main" id="{FDE3EAE7-1E62-40EA-8A13-A6AFD835A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7620</xdr:rowOff>
        </xdr:from>
        <xdr:to>
          <xdr:col>2</xdr:col>
          <xdr:colOff>1150620</xdr:colOff>
          <xdr:row>20</xdr:row>
          <xdr:rowOff>53340</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D023FE93-0655-4300-81B6-68C78C03E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xdr:row>
          <xdr:rowOff>7620</xdr:rowOff>
        </xdr:from>
        <xdr:to>
          <xdr:col>2</xdr:col>
          <xdr:colOff>1150620</xdr:colOff>
          <xdr:row>21</xdr:row>
          <xdr:rowOff>53340</xdr:rowOff>
        </xdr:to>
        <xdr:sp macro="" textlink="">
          <xdr:nvSpPr>
            <xdr:cNvPr id="35860" name="Check Box 20" hidden="1">
              <a:extLst>
                <a:ext uri="{63B3BB69-23CF-44E3-9099-C40C66FF867C}">
                  <a14:compatExt spid="_x0000_s35860"/>
                </a:ext>
                <a:ext uri="{FF2B5EF4-FFF2-40B4-BE49-F238E27FC236}">
                  <a16:creationId xmlns:a16="http://schemas.microsoft.com/office/drawing/2014/main" id="{8EA8A2DD-C22F-4E5B-92C0-4EE3F24F13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xdr:row>
          <xdr:rowOff>0</xdr:rowOff>
        </xdr:from>
        <xdr:to>
          <xdr:col>7</xdr:col>
          <xdr:colOff>929640</xdr:colOff>
          <xdr:row>12</xdr:row>
          <xdr:rowOff>22860</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2EAF4A30-9B78-45B4-8653-A9D5B6890B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11</xdr:row>
          <xdr:rowOff>22860</xdr:rowOff>
        </xdr:from>
        <xdr:to>
          <xdr:col>8</xdr:col>
          <xdr:colOff>1066800</xdr:colOff>
          <xdr:row>12</xdr:row>
          <xdr:rowOff>15240</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83F12603-B53F-4AF7-B149-3F320EEE6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48</xdr:row>
          <xdr:rowOff>0</xdr:rowOff>
        </xdr:from>
        <xdr:to>
          <xdr:col>2</xdr:col>
          <xdr:colOff>137160</xdr:colOff>
          <xdr:row>49</xdr:row>
          <xdr:rowOff>30480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6A62673F-33ED-49A4-A108-D743C7AA4D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48</xdr:row>
          <xdr:rowOff>22860</xdr:rowOff>
        </xdr:from>
        <xdr:to>
          <xdr:col>2</xdr:col>
          <xdr:colOff>1143000</xdr:colOff>
          <xdr:row>49</xdr:row>
          <xdr:rowOff>15240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739C6424-53F9-4CB8-BF45-C83D9E96B7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3</xdr:col>
          <xdr:colOff>929640</xdr:colOff>
          <xdr:row>49</xdr:row>
          <xdr:rowOff>30480</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84A2570E-B8BA-4669-822C-FD1A772B1B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48</xdr:row>
          <xdr:rowOff>22860</xdr:rowOff>
        </xdr:from>
        <xdr:to>
          <xdr:col>4</xdr:col>
          <xdr:colOff>647700</xdr:colOff>
          <xdr:row>49</xdr:row>
          <xdr:rowOff>15240</xdr:rowOff>
        </xdr:to>
        <xdr:sp macro="" textlink="">
          <xdr:nvSpPr>
            <xdr:cNvPr id="35866" name="Check Box 26" hidden="1">
              <a:extLst>
                <a:ext uri="{63B3BB69-23CF-44E3-9099-C40C66FF867C}">
                  <a14:compatExt spid="_x0000_s35866"/>
                </a:ext>
                <a:ext uri="{FF2B5EF4-FFF2-40B4-BE49-F238E27FC236}">
                  <a16:creationId xmlns:a16="http://schemas.microsoft.com/office/drawing/2014/main" id="{26004C5C-2B6E-4576-81D4-B6DA0A220F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48</xdr:row>
          <xdr:rowOff>0</xdr:rowOff>
        </xdr:from>
        <xdr:to>
          <xdr:col>5</xdr:col>
          <xdr:colOff>929640</xdr:colOff>
          <xdr:row>49</xdr:row>
          <xdr:rowOff>30480</xdr:rowOff>
        </xdr:to>
        <xdr:sp macro="" textlink="">
          <xdr:nvSpPr>
            <xdr:cNvPr id="35867" name="Check Box 27" hidden="1">
              <a:extLst>
                <a:ext uri="{63B3BB69-23CF-44E3-9099-C40C66FF867C}">
                  <a14:compatExt spid="_x0000_s35867"/>
                </a:ext>
                <a:ext uri="{FF2B5EF4-FFF2-40B4-BE49-F238E27FC236}">
                  <a16:creationId xmlns:a16="http://schemas.microsoft.com/office/drawing/2014/main" id="{8E704DEE-E38F-455E-9494-D29C708A26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48</xdr:row>
          <xdr:rowOff>22860</xdr:rowOff>
        </xdr:from>
        <xdr:to>
          <xdr:col>6</xdr:col>
          <xdr:colOff>1059180</xdr:colOff>
          <xdr:row>49</xdr:row>
          <xdr:rowOff>15240</xdr:rowOff>
        </xdr:to>
        <xdr:sp macro="" textlink="">
          <xdr:nvSpPr>
            <xdr:cNvPr id="35868" name="Check Box 28" hidden="1">
              <a:extLst>
                <a:ext uri="{63B3BB69-23CF-44E3-9099-C40C66FF867C}">
                  <a14:compatExt spid="_x0000_s35868"/>
                </a:ext>
                <a:ext uri="{FF2B5EF4-FFF2-40B4-BE49-F238E27FC236}">
                  <a16:creationId xmlns:a16="http://schemas.microsoft.com/office/drawing/2014/main" id="{240FE944-624D-4795-B930-56541A52EA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7620</xdr:rowOff>
        </xdr:from>
        <xdr:to>
          <xdr:col>2</xdr:col>
          <xdr:colOff>1150620</xdr:colOff>
          <xdr:row>51</xdr:row>
          <xdr:rowOff>53340</xdr:rowOff>
        </xdr:to>
        <xdr:sp macro="" textlink="">
          <xdr:nvSpPr>
            <xdr:cNvPr id="35869" name="Check Box 29" hidden="1">
              <a:extLst>
                <a:ext uri="{63B3BB69-23CF-44E3-9099-C40C66FF867C}">
                  <a14:compatExt spid="_x0000_s35869"/>
                </a:ext>
                <a:ext uri="{FF2B5EF4-FFF2-40B4-BE49-F238E27FC236}">
                  <a16:creationId xmlns:a16="http://schemas.microsoft.com/office/drawing/2014/main" id="{26A4A9DB-27D4-44AD-9774-4F9ADA073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50</xdr:row>
          <xdr:rowOff>0</xdr:rowOff>
        </xdr:from>
        <xdr:to>
          <xdr:col>6</xdr:col>
          <xdr:colOff>1402080</xdr:colOff>
          <xdr:row>51</xdr:row>
          <xdr:rowOff>53340</xdr:rowOff>
        </xdr:to>
        <xdr:sp macro="" textlink="">
          <xdr:nvSpPr>
            <xdr:cNvPr id="35870" name="Check Box 30" hidden="1">
              <a:extLst>
                <a:ext uri="{63B3BB69-23CF-44E3-9099-C40C66FF867C}">
                  <a14:compatExt spid="_x0000_s35870"/>
                </a:ext>
                <a:ext uri="{FF2B5EF4-FFF2-40B4-BE49-F238E27FC236}">
                  <a16:creationId xmlns:a16="http://schemas.microsoft.com/office/drawing/2014/main" id="{16B78F5C-FDE5-4DBA-8A4B-EC26CFC906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50</xdr:row>
          <xdr:rowOff>182880</xdr:rowOff>
        </xdr:from>
        <xdr:to>
          <xdr:col>2</xdr:col>
          <xdr:colOff>1165860</xdr:colOff>
          <xdr:row>52</xdr:row>
          <xdr:rowOff>83820</xdr:rowOff>
        </xdr:to>
        <xdr:sp macro="" textlink="">
          <xdr:nvSpPr>
            <xdr:cNvPr id="35871" name="Check Box 31" hidden="1">
              <a:extLst>
                <a:ext uri="{63B3BB69-23CF-44E3-9099-C40C66FF867C}">
                  <a14:compatExt spid="_x0000_s35871"/>
                </a:ext>
                <a:ext uri="{FF2B5EF4-FFF2-40B4-BE49-F238E27FC236}">
                  <a16:creationId xmlns:a16="http://schemas.microsoft.com/office/drawing/2014/main" id="{8399F3E6-E33F-4B4A-BABA-DCE8CA036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51</xdr:row>
          <xdr:rowOff>0</xdr:rowOff>
        </xdr:from>
        <xdr:to>
          <xdr:col>6</xdr:col>
          <xdr:colOff>1402080</xdr:colOff>
          <xdr:row>52</xdr:row>
          <xdr:rowOff>53340</xdr:rowOff>
        </xdr:to>
        <xdr:sp macro="" textlink="">
          <xdr:nvSpPr>
            <xdr:cNvPr id="35872" name="Check Box 32" hidden="1">
              <a:extLst>
                <a:ext uri="{63B3BB69-23CF-44E3-9099-C40C66FF867C}">
                  <a14:compatExt spid="_x0000_s35872"/>
                </a:ext>
                <a:ext uri="{FF2B5EF4-FFF2-40B4-BE49-F238E27FC236}">
                  <a16:creationId xmlns:a16="http://schemas.microsoft.com/office/drawing/2014/main" id="{4623DD23-F283-4460-A6D8-381AB3FC29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7620</xdr:rowOff>
        </xdr:from>
        <xdr:to>
          <xdr:col>2</xdr:col>
          <xdr:colOff>1150620</xdr:colOff>
          <xdr:row>53</xdr:row>
          <xdr:rowOff>53340</xdr:rowOff>
        </xdr:to>
        <xdr:sp macro="" textlink="">
          <xdr:nvSpPr>
            <xdr:cNvPr id="35873" name="Check Box 33" hidden="1">
              <a:extLst>
                <a:ext uri="{63B3BB69-23CF-44E3-9099-C40C66FF867C}">
                  <a14:compatExt spid="_x0000_s35873"/>
                </a:ext>
                <a:ext uri="{FF2B5EF4-FFF2-40B4-BE49-F238E27FC236}">
                  <a16:creationId xmlns:a16="http://schemas.microsoft.com/office/drawing/2014/main" id="{29A6B520-7252-4EF2-8D21-11C86771F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52</xdr:row>
          <xdr:rowOff>0</xdr:rowOff>
        </xdr:from>
        <xdr:to>
          <xdr:col>6</xdr:col>
          <xdr:colOff>1402080</xdr:colOff>
          <xdr:row>53</xdr:row>
          <xdr:rowOff>53340</xdr:rowOff>
        </xdr:to>
        <xdr:sp macro="" textlink="">
          <xdr:nvSpPr>
            <xdr:cNvPr id="35874" name="Check Box 34" hidden="1">
              <a:extLst>
                <a:ext uri="{63B3BB69-23CF-44E3-9099-C40C66FF867C}">
                  <a14:compatExt spid="_x0000_s35874"/>
                </a:ext>
                <a:ext uri="{FF2B5EF4-FFF2-40B4-BE49-F238E27FC236}">
                  <a16:creationId xmlns:a16="http://schemas.microsoft.com/office/drawing/2014/main" id="{F9280FC8-4789-4685-A985-96802991E8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7620</xdr:rowOff>
        </xdr:from>
        <xdr:to>
          <xdr:col>2</xdr:col>
          <xdr:colOff>1150620</xdr:colOff>
          <xdr:row>54</xdr:row>
          <xdr:rowOff>53340</xdr:rowOff>
        </xdr:to>
        <xdr:sp macro="" textlink="">
          <xdr:nvSpPr>
            <xdr:cNvPr id="35875" name="Check Box 35" hidden="1">
              <a:extLst>
                <a:ext uri="{63B3BB69-23CF-44E3-9099-C40C66FF867C}">
                  <a14:compatExt spid="_x0000_s35875"/>
                </a:ext>
                <a:ext uri="{FF2B5EF4-FFF2-40B4-BE49-F238E27FC236}">
                  <a16:creationId xmlns:a16="http://schemas.microsoft.com/office/drawing/2014/main" id="{DD0D2458-A4D8-4702-AE81-C2364222F0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53</xdr:row>
          <xdr:rowOff>0</xdr:rowOff>
        </xdr:from>
        <xdr:to>
          <xdr:col>6</xdr:col>
          <xdr:colOff>1402080</xdr:colOff>
          <xdr:row>54</xdr:row>
          <xdr:rowOff>53340</xdr:rowOff>
        </xdr:to>
        <xdr:sp macro="" textlink="">
          <xdr:nvSpPr>
            <xdr:cNvPr id="35876" name="Check Box 36" hidden="1">
              <a:extLst>
                <a:ext uri="{63B3BB69-23CF-44E3-9099-C40C66FF867C}">
                  <a14:compatExt spid="_x0000_s35876"/>
                </a:ext>
                <a:ext uri="{FF2B5EF4-FFF2-40B4-BE49-F238E27FC236}">
                  <a16:creationId xmlns:a16="http://schemas.microsoft.com/office/drawing/2014/main" id="{B291A468-29F1-4575-91DF-2D9B4CFBF3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7620</xdr:rowOff>
        </xdr:from>
        <xdr:to>
          <xdr:col>2</xdr:col>
          <xdr:colOff>1150620</xdr:colOff>
          <xdr:row>55</xdr:row>
          <xdr:rowOff>53340</xdr:rowOff>
        </xdr:to>
        <xdr:sp macro="" textlink="">
          <xdr:nvSpPr>
            <xdr:cNvPr id="35877" name="Check Box 37" hidden="1">
              <a:extLst>
                <a:ext uri="{63B3BB69-23CF-44E3-9099-C40C66FF867C}">
                  <a14:compatExt spid="_x0000_s35877"/>
                </a:ext>
                <a:ext uri="{FF2B5EF4-FFF2-40B4-BE49-F238E27FC236}">
                  <a16:creationId xmlns:a16="http://schemas.microsoft.com/office/drawing/2014/main" id="{2128A684-0B2D-412D-8687-6B615AE15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54</xdr:row>
          <xdr:rowOff>0</xdr:rowOff>
        </xdr:from>
        <xdr:to>
          <xdr:col>6</xdr:col>
          <xdr:colOff>1402080</xdr:colOff>
          <xdr:row>55</xdr:row>
          <xdr:rowOff>53340</xdr:rowOff>
        </xdr:to>
        <xdr:sp macro="" textlink="">
          <xdr:nvSpPr>
            <xdr:cNvPr id="35878" name="Check Box 38" hidden="1">
              <a:extLst>
                <a:ext uri="{63B3BB69-23CF-44E3-9099-C40C66FF867C}">
                  <a14:compatExt spid="_x0000_s35878"/>
                </a:ext>
                <a:ext uri="{FF2B5EF4-FFF2-40B4-BE49-F238E27FC236}">
                  <a16:creationId xmlns:a16="http://schemas.microsoft.com/office/drawing/2014/main" id="{8BFEFC9E-2776-43AB-A27D-0B4AAECD1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7620</xdr:rowOff>
        </xdr:from>
        <xdr:to>
          <xdr:col>2</xdr:col>
          <xdr:colOff>1150620</xdr:colOff>
          <xdr:row>56</xdr:row>
          <xdr:rowOff>53340</xdr:rowOff>
        </xdr:to>
        <xdr:sp macro="" textlink="">
          <xdr:nvSpPr>
            <xdr:cNvPr id="35879" name="Check Box 39" hidden="1">
              <a:extLst>
                <a:ext uri="{63B3BB69-23CF-44E3-9099-C40C66FF867C}">
                  <a14:compatExt spid="_x0000_s35879"/>
                </a:ext>
                <a:ext uri="{FF2B5EF4-FFF2-40B4-BE49-F238E27FC236}">
                  <a16:creationId xmlns:a16="http://schemas.microsoft.com/office/drawing/2014/main" id="{F6BC569C-8F28-4163-8304-F177AA8700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55</xdr:row>
          <xdr:rowOff>0</xdr:rowOff>
        </xdr:from>
        <xdr:to>
          <xdr:col>6</xdr:col>
          <xdr:colOff>1402080</xdr:colOff>
          <xdr:row>56</xdr:row>
          <xdr:rowOff>53340</xdr:rowOff>
        </xdr:to>
        <xdr:sp macro="" textlink="">
          <xdr:nvSpPr>
            <xdr:cNvPr id="35880" name="Check Box 40" hidden="1">
              <a:extLst>
                <a:ext uri="{63B3BB69-23CF-44E3-9099-C40C66FF867C}">
                  <a14:compatExt spid="_x0000_s35880"/>
                </a:ext>
                <a:ext uri="{FF2B5EF4-FFF2-40B4-BE49-F238E27FC236}">
                  <a16:creationId xmlns:a16="http://schemas.microsoft.com/office/drawing/2014/main" id="{309FA635-B9EA-47D6-B3A0-25F0D16B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7620</xdr:rowOff>
        </xdr:from>
        <xdr:to>
          <xdr:col>2</xdr:col>
          <xdr:colOff>1150620</xdr:colOff>
          <xdr:row>57</xdr:row>
          <xdr:rowOff>53340</xdr:rowOff>
        </xdr:to>
        <xdr:sp macro="" textlink="">
          <xdr:nvSpPr>
            <xdr:cNvPr id="35881" name="Check Box 41" hidden="1">
              <a:extLst>
                <a:ext uri="{63B3BB69-23CF-44E3-9099-C40C66FF867C}">
                  <a14:compatExt spid="_x0000_s35881"/>
                </a:ext>
                <a:ext uri="{FF2B5EF4-FFF2-40B4-BE49-F238E27FC236}">
                  <a16:creationId xmlns:a16="http://schemas.microsoft.com/office/drawing/2014/main" id="{02E325A3-FA2C-410B-B007-BF9420D6F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7620</xdr:rowOff>
        </xdr:from>
        <xdr:to>
          <xdr:col>2</xdr:col>
          <xdr:colOff>1150620</xdr:colOff>
          <xdr:row>58</xdr:row>
          <xdr:rowOff>53340</xdr:rowOff>
        </xdr:to>
        <xdr:sp macro="" textlink="">
          <xdr:nvSpPr>
            <xdr:cNvPr id="35882" name="Check Box 42" hidden="1">
              <a:extLst>
                <a:ext uri="{63B3BB69-23CF-44E3-9099-C40C66FF867C}">
                  <a14:compatExt spid="_x0000_s35882"/>
                </a:ext>
                <a:ext uri="{FF2B5EF4-FFF2-40B4-BE49-F238E27FC236}">
                  <a16:creationId xmlns:a16="http://schemas.microsoft.com/office/drawing/2014/main" id="{8C5F80B9-791E-41CB-B5B2-0A48AF6F0E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48</xdr:row>
          <xdr:rowOff>0</xdr:rowOff>
        </xdr:from>
        <xdr:to>
          <xdr:col>7</xdr:col>
          <xdr:colOff>929640</xdr:colOff>
          <xdr:row>49</xdr:row>
          <xdr:rowOff>30480</xdr:rowOff>
        </xdr:to>
        <xdr:sp macro="" textlink="">
          <xdr:nvSpPr>
            <xdr:cNvPr id="35883" name="Check Box 43" hidden="1">
              <a:extLst>
                <a:ext uri="{63B3BB69-23CF-44E3-9099-C40C66FF867C}">
                  <a14:compatExt spid="_x0000_s35883"/>
                </a:ext>
                <a:ext uri="{FF2B5EF4-FFF2-40B4-BE49-F238E27FC236}">
                  <a16:creationId xmlns:a16="http://schemas.microsoft.com/office/drawing/2014/main" id="{7342E40D-E13D-4A4B-A9E0-CA3C59E770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48</xdr:row>
          <xdr:rowOff>22860</xdr:rowOff>
        </xdr:from>
        <xdr:to>
          <xdr:col>8</xdr:col>
          <xdr:colOff>1066800</xdr:colOff>
          <xdr:row>49</xdr:row>
          <xdr:rowOff>30480</xdr:rowOff>
        </xdr:to>
        <xdr:sp macro="" textlink="">
          <xdr:nvSpPr>
            <xdr:cNvPr id="35884" name="Check Box 44" hidden="1">
              <a:extLst>
                <a:ext uri="{63B3BB69-23CF-44E3-9099-C40C66FF867C}">
                  <a14:compatExt spid="_x0000_s35884"/>
                </a:ext>
                <a:ext uri="{FF2B5EF4-FFF2-40B4-BE49-F238E27FC236}">
                  <a16:creationId xmlns:a16="http://schemas.microsoft.com/office/drawing/2014/main" id="{58D9C941-F66E-4CA8-8E56-0F8F319E95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85</xdr:row>
          <xdr:rowOff>0</xdr:rowOff>
        </xdr:from>
        <xdr:to>
          <xdr:col>2</xdr:col>
          <xdr:colOff>137160</xdr:colOff>
          <xdr:row>86</xdr:row>
          <xdr:rowOff>30480</xdr:rowOff>
        </xdr:to>
        <xdr:sp macro="" textlink="">
          <xdr:nvSpPr>
            <xdr:cNvPr id="35885" name="Check Box 45" hidden="1">
              <a:extLst>
                <a:ext uri="{63B3BB69-23CF-44E3-9099-C40C66FF867C}">
                  <a14:compatExt spid="_x0000_s35885"/>
                </a:ext>
                <a:ext uri="{FF2B5EF4-FFF2-40B4-BE49-F238E27FC236}">
                  <a16:creationId xmlns:a16="http://schemas.microsoft.com/office/drawing/2014/main" id="{F8B75E46-50D0-4C8F-B51D-89AD8A1A9A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85</xdr:row>
          <xdr:rowOff>22860</xdr:rowOff>
        </xdr:from>
        <xdr:to>
          <xdr:col>2</xdr:col>
          <xdr:colOff>1143000</xdr:colOff>
          <xdr:row>86</xdr:row>
          <xdr:rowOff>15240</xdr:rowOff>
        </xdr:to>
        <xdr:sp macro="" textlink="">
          <xdr:nvSpPr>
            <xdr:cNvPr id="35886" name="Check Box 46" hidden="1">
              <a:extLst>
                <a:ext uri="{63B3BB69-23CF-44E3-9099-C40C66FF867C}">
                  <a14:compatExt spid="_x0000_s35886"/>
                </a:ext>
                <a:ext uri="{FF2B5EF4-FFF2-40B4-BE49-F238E27FC236}">
                  <a16:creationId xmlns:a16="http://schemas.microsoft.com/office/drawing/2014/main" id="{7DB89492-B7B2-4494-8F58-2C13CB242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85</xdr:row>
          <xdr:rowOff>0</xdr:rowOff>
        </xdr:from>
        <xdr:to>
          <xdr:col>3</xdr:col>
          <xdr:colOff>929640</xdr:colOff>
          <xdr:row>86</xdr:row>
          <xdr:rowOff>30480</xdr:rowOff>
        </xdr:to>
        <xdr:sp macro="" textlink="">
          <xdr:nvSpPr>
            <xdr:cNvPr id="35887" name="Check Box 47" hidden="1">
              <a:extLst>
                <a:ext uri="{63B3BB69-23CF-44E3-9099-C40C66FF867C}">
                  <a14:compatExt spid="_x0000_s35887"/>
                </a:ext>
                <a:ext uri="{FF2B5EF4-FFF2-40B4-BE49-F238E27FC236}">
                  <a16:creationId xmlns:a16="http://schemas.microsoft.com/office/drawing/2014/main" id="{176BA344-F677-425E-8926-C935907E7F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85</xdr:row>
          <xdr:rowOff>22860</xdr:rowOff>
        </xdr:from>
        <xdr:to>
          <xdr:col>4</xdr:col>
          <xdr:colOff>647700</xdr:colOff>
          <xdr:row>86</xdr:row>
          <xdr:rowOff>15240</xdr:rowOff>
        </xdr:to>
        <xdr:sp macro="" textlink="">
          <xdr:nvSpPr>
            <xdr:cNvPr id="35888" name="Check Box 48" hidden="1">
              <a:extLst>
                <a:ext uri="{63B3BB69-23CF-44E3-9099-C40C66FF867C}">
                  <a14:compatExt spid="_x0000_s35888"/>
                </a:ext>
                <a:ext uri="{FF2B5EF4-FFF2-40B4-BE49-F238E27FC236}">
                  <a16:creationId xmlns:a16="http://schemas.microsoft.com/office/drawing/2014/main" id="{A6374EEB-CE32-4567-B343-E26BDB49D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85</xdr:row>
          <xdr:rowOff>0</xdr:rowOff>
        </xdr:from>
        <xdr:to>
          <xdr:col>5</xdr:col>
          <xdr:colOff>929640</xdr:colOff>
          <xdr:row>86</xdr:row>
          <xdr:rowOff>30480</xdr:rowOff>
        </xdr:to>
        <xdr:sp macro="" textlink="">
          <xdr:nvSpPr>
            <xdr:cNvPr id="35889" name="Check Box 49" hidden="1">
              <a:extLst>
                <a:ext uri="{63B3BB69-23CF-44E3-9099-C40C66FF867C}">
                  <a14:compatExt spid="_x0000_s35889"/>
                </a:ext>
                <a:ext uri="{FF2B5EF4-FFF2-40B4-BE49-F238E27FC236}">
                  <a16:creationId xmlns:a16="http://schemas.microsoft.com/office/drawing/2014/main" id="{AFC321E5-84C6-419B-B728-2DE909FB7A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85</xdr:row>
          <xdr:rowOff>22860</xdr:rowOff>
        </xdr:from>
        <xdr:to>
          <xdr:col>6</xdr:col>
          <xdr:colOff>1059180</xdr:colOff>
          <xdr:row>86</xdr:row>
          <xdr:rowOff>15240</xdr:rowOff>
        </xdr:to>
        <xdr:sp macro="" textlink="">
          <xdr:nvSpPr>
            <xdr:cNvPr id="35890" name="Check Box 50" hidden="1">
              <a:extLst>
                <a:ext uri="{63B3BB69-23CF-44E3-9099-C40C66FF867C}">
                  <a14:compatExt spid="_x0000_s35890"/>
                </a:ext>
                <a:ext uri="{FF2B5EF4-FFF2-40B4-BE49-F238E27FC236}">
                  <a16:creationId xmlns:a16="http://schemas.microsoft.com/office/drawing/2014/main" id="{475E70C1-2699-404E-B6A0-752342310E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87</xdr:row>
          <xdr:rowOff>7620</xdr:rowOff>
        </xdr:from>
        <xdr:to>
          <xdr:col>2</xdr:col>
          <xdr:colOff>1150620</xdr:colOff>
          <xdr:row>88</xdr:row>
          <xdr:rowOff>53340</xdr:rowOff>
        </xdr:to>
        <xdr:sp macro="" textlink="">
          <xdr:nvSpPr>
            <xdr:cNvPr id="35891" name="Check Box 51" hidden="1">
              <a:extLst>
                <a:ext uri="{63B3BB69-23CF-44E3-9099-C40C66FF867C}">
                  <a14:compatExt spid="_x0000_s35891"/>
                </a:ext>
                <a:ext uri="{FF2B5EF4-FFF2-40B4-BE49-F238E27FC236}">
                  <a16:creationId xmlns:a16="http://schemas.microsoft.com/office/drawing/2014/main" id="{C2D4B781-E3B4-4204-AF99-C687832141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87</xdr:row>
          <xdr:rowOff>0</xdr:rowOff>
        </xdr:from>
        <xdr:to>
          <xdr:col>6</xdr:col>
          <xdr:colOff>1402080</xdr:colOff>
          <xdr:row>88</xdr:row>
          <xdr:rowOff>53340</xdr:rowOff>
        </xdr:to>
        <xdr:sp macro="" textlink="">
          <xdr:nvSpPr>
            <xdr:cNvPr id="35892" name="Check Box 52" hidden="1">
              <a:extLst>
                <a:ext uri="{63B3BB69-23CF-44E3-9099-C40C66FF867C}">
                  <a14:compatExt spid="_x0000_s35892"/>
                </a:ext>
                <a:ext uri="{FF2B5EF4-FFF2-40B4-BE49-F238E27FC236}">
                  <a16:creationId xmlns:a16="http://schemas.microsoft.com/office/drawing/2014/main" id="{DADACC8C-9196-42E3-86FF-31ED10062A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87</xdr:row>
          <xdr:rowOff>182880</xdr:rowOff>
        </xdr:from>
        <xdr:to>
          <xdr:col>2</xdr:col>
          <xdr:colOff>1165860</xdr:colOff>
          <xdr:row>89</xdr:row>
          <xdr:rowOff>83820</xdr:rowOff>
        </xdr:to>
        <xdr:sp macro="" textlink="">
          <xdr:nvSpPr>
            <xdr:cNvPr id="35893" name="Check Box 53" hidden="1">
              <a:extLst>
                <a:ext uri="{63B3BB69-23CF-44E3-9099-C40C66FF867C}">
                  <a14:compatExt spid="_x0000_s35893"/>
                </a:ext>
                <a:ext uri="{FF2B5EF4-FFF2-40B4-BE49-F238E27FC236}">
                  <a16:creationId xmlns:a16="http://schemas.microsoft.com/office/drawing/2014/main" id="{BB24C19F-7753-4970-A256-EE2ED2790E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88</xdr:row>
          <xdr:rowOff>0</xdr:rowOff>
        </xdr:from>
        <xdr:to>
          <xdr:col>6</xdr:col>
          <xdr:colOff>1402080</xdr:colOff>
          <xdr:row>89</xdr:row>
          <xdr:rowOff>53340</xdr:rowOff>
        </xdr:to>
        <xdr:sp macro="" textlink="">
          <xdr:nvSpPr>
            <xdr:cNvPr id="35894" name="Check Box 54" hidden="1">
              <a:extLst>
                <a:ext uri="{63B3BB69-23CF-44E3-9099-C40C66FF867C}">
                  <a14:compatExt spid="_x0000_s35894"/>
                </a:ext>
                <a:ext uri="{FF2B5EF4-FFF2-40B4-BE49-F238E27FC236}">
                  <a16:creationId xmlns:a16="http://schemas.microsoft.com/office/drawing/2014/main" id="{D19C2D90-6772-4B70-A2D2-50F0A00A15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89</xdr:row>
          <xdr:rowOff>7620</xdr:rowOff>
        </xdr:from>
        <xdr:to>
          <xdr:col>2</xdr:col>
          <xdr:colOff>1150620</xdr:colOff>
          <xdr:row>90</xdr:row>
          <xdr:rowOff>53340</xdr:rowOff>
        </xdr:to>
        <xdr:sp macro="" textlink="">
          <xdr:nvSpPr>
            <xdr:cNvPr id="35895" name="Check Box 55" hidden="1">
              <a:extLst>
                <a:ext uri="{63B3BB69-23CF-44E3-9099-C40C66FF867C}">
                  <a14:compatExt spid="_x0000_s35895"/>
                </a:ext>
                <a:ext uri="{FF2B5EF4-FFF2-40B4-BE49-F238E27FC236}">
                  <a16:creationId xmlns:a16="http://schemas.microsoft.com/office/drawing/2014/main" id="{924B8DBE-8030-4510-9708-37479C7E3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89</xdr:row>
          <xdr:rowOff>0</xdr:rowOff>
        </xdr:from>
        <xdr:to>
          <xdr:col>6</xdr:col>
          <xdr:colOff>1402080</xdr:colOff>
          <xdr:row>90</xdr:row>
          <xdr:rowOff>53340</xdr:rowOff>
        </xdr:to>
        <xdr:sp macro="" textlink="">
          <xdr:nvSpPr>
            <xdr:cNvPr id="35896" name="Check Box 56" hidden="1">
              <a:extLst>
                <a:ext uri="{63B3BB69-23CF-44E3-9099-C40C66FF867C}">
                  <a14:compatExt spid="_x0000_s35896"/>
                </a:ext>
                <a:ext uri="{FF2B5EF4-FFF2-40B4-BE49-F238E27FC236}">
                  <a16:creationId xmlns:a16="http://schemas.microsoft.com/office/drawing/2014/main" id="{7F6CB995-41A7-4B92-8D65-4A52E79BF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90</xdr:row>
          <xdr:rowOff>7620</xdr:rowOff>
        </xdr:from>
        <xdr:to>
          <xdr:col>2</xdr:col>
          <xdr:colOff>1150620</xdr:colOff>
          <xdr:row>91</xdr:row>
          <xdr:rowOff>53340</xdr:rowOff>
        </xdr:to>
        <xdr:sp macro="" textlink="">
          <xdr:nvSpPr>
            <xdr:cNvPr id="35897" name="Check Box 57" hidden="1">
              <a:extLst>
                <a:ext uri="{63B3BB69-23CF-44E3-9099-C40C66FF867C}">
                  <a14:compatExt spid="_x0000_s35897"/>
                </a:ext>
                <a:ext uri="{FF2B5EF4-FFF2-40B4-BE49-F238E27FC236}">
                  <a16:creationId xmlns:a16="http://schemas.microsoft.com/office/drawing/2014/main" id="{F0AD6DA3-2C50-4115-BC45-703FBB533B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90</xdr:row>
          <xdr:rowOff>0</xdr:rowOff>
        </xdr:from>
        <xdr:to>
          <xdr:col>6</xdr:col>
          <xdr:colOff>1402080</xdr:colOff>
          <xdr:row>91</xdr:row>
          <xdr:rowOff>53340</xdr:rowOff>
        </xdr:to>
        <xdr:sp macro="" textlink="">
          <xdr:nvSpPr>
            <xdr:cNvPr id="35898" name="Check Box 58" hidden="1">
              <a:extLst>
                <a:ext uri="{63B3BB69-23CF-44E3-9099-C40C66FF867C}">
                  <a14:compatExt spid="_x0000_s35898"/>
                </a:ext>
                <a:ext uri="{FF2B5EF4-FFF2-40B4-BE49-F238E27FC236}">
                  <a16:creationId xmlns:a16="http://schemas.microsoft.com/office/drawing/2014/main" id="{67BBCA08-9985-473A-A3E0-3C8B528071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91</xdr:row>
          <xdr:rowOff>7620</xdr:rowOff>
        </xdr:from>
        <xdr:to>
          <xdr:col>2</xdr:col>
          <xdr:colOff>1150620</xdr:colOff>
          <xdr:row>92</xdr:row>
          <xdr:rowOff>53340</xdr:rowOff>
        </xdr:to>
        <xdr:sp macro="" textlink="">
          <xdr:nvSpPr>
            <xdr:cNvPr id="35899" name="Check Box 59" hidden="1">
              <a:extLst>
                <a:ext uri="{63B3BB69-23CF-44E3-9099-C40C66FF867C}">
                  <a14:compatExt spid="_x0000_s35899"/>
                </a:ext>
                <a:ext uri="{FF2B5EF4-FFF2-40B4-BE49-F238E27FC236}">
                  <a16:creationId xmlns:a16="http://schemas.microsoft.com/office/drawing/2014/main" id="{19B7D1EC-BA2F-4007-A509-589EB2676D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91</xdr:row>
          <xdr:rowOff>0</xdr:rowOff>
        </xdr:from>
        <xdr:to>
          <xdr:col>6</xdr:col>
          <xdr:colOff>1402080</xdr:colOff>
          <xdr:row>92</xdr:row>
          <xdr:rowOff>53340</xdr:rowOff>
        </xdr:to>
        <xdr:sp macro="" textlink="">
          <xdr:nvSpPr>
            <xdr:cNvPr id="35900" name="Check Box 60" hidden="1">
              <a:extLst>
                <a:ext uri="{63B3BB69-23CF-44E3-9099-C40C66FF867C}">
                  <a14:compatExt spid="_x0000_s35900"/>
                </a:ext>
                <a:ext uri="{FF2B5EF4-FFF2-40B4-BE49-F238E27FC236}">
                  <a16:creationId xmlns:a16="http://schemas.microsoft.com/office/drawing/2014/main" id="{F24E2B6B-1C89-4D96-8E5A-2C40DBD2DA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92</xdr:row>
          <xdr:rowOff>7620</xdr:rowOff>
        </xdr:from>
        <xdr:to>
          <xdr:col>2</xdr:col>
          <xdr:colOff>1150620</xdr:colOff>
          <xdr:row>93</xdr:row>
          <xdr:rowOff>53340</xdr:rowOff>
        </xdr:to>
        <xdr:sp macro="" textlink="">
          <xdr:nvSpPr>
            <xdr:cNvPr id="35901" name="Check Box 61" hidden="1">
              <a:extLst>
                <a:ext uri="{63B3BB69-23CF-44E3-9099-C40C66FF867C}">
                  <a14:compatExt spid="_x0000_s35901"/>
                </a:ext>
                <a:ext uri="{FF2B5EF4-FFF2-40B4-BE49-F238E27FC236}">
                  <a16:creationId xmlns:a16="http://schemas.microsoft.com/office/drawing/2014/main" id="{F088D8C2-020F-49AC-8A5D-D4EA21E7D8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92</xdr:row>
          <xdr:rowOff>0</xdr:rowOff>
        </xdr:from>
        <xdr:to>
          <xdr:col>6</xdr:col>
          <xdr:colOff>1402080</xdr:colOff>
          <xdr:row>93</xdr:row>
          <xdr:rowOff>53340</xdr:rowOff>
        </xdr:to>
        <xdr:sp macro="" textlink="">
          <xdr:nvSpPr>
            <xdr:cNvPr id="35902" name="Check Box 62" hidden="1">
              <a:extLst>
                <a:ext uri="{63B3BB69-23CF-44E3-9099-C40C66FF867C}">
                  <a14:compatExt spid="_x0000_s35902"/>
                </a:ext>
                <a:ext uri="{FF2B5EF4-FFF2-40B4-BE49-F238E27FC236}">
                  <a16:creationId xmlns:a16="http://schemas.microsoft.com/office/drawing/2014/main" id="{EB76220B-05E0-4F50-B197-993E60F692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93</xdr:row>
          <xdr:rowOff>7620</xdr:rowOff>
        </xdr:from>
        <xdr:to>
          <xdr:col>2</xdr:col>
          <xdr:colOff>1150620</xdr:colOff>
          <xdr:row>94</xdr:row>
          <xdr:rowOff>53340</xdr:rowOff>
        </xdr:to>
        <xdr:sp macro="" textlink="">
          <xdr:nvSpPr>
            <xdr:cNvPr id="35903" name="Check Box 63" hidden="1">
              <a:extLst>
                <a:ext uri="{63B3BB69-23CF-44E3-9099-C40C66FF867C}">
                  <a14:compatExt spid="_x0000_s35903"/>
                </a:ext>
                <a:ext uri="{FF2B5EF4-FFF2-40B4-BE49-F238E27FC236}">
                  <a16:creationId xmlns:a16="http://schemas.microsoft.com/office/drawing/2014/main" id="{E17778D4-3C34-4D39-81F4-4FED2E8ABB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94</xdr:row>
          <xdr:rowOff>7620</xdr:rowOff>
        </xdr:from>
        <xdr:to>
          <xdr:col>2</xdr:col>
          <xdr:colOff>1150620</xdr:colOff>
          <xdr:row>95</xdr:row>
          <xdr:rowOff>53340</xdr:rowOff>
        </xdr:to>
        <xdr:sp macro="" textlink="">
          <xdr:nvSpPr>
            <xdr:cNvPr id="35904" name="Check Box 64" hidden="1">
              <a:extLst>
                <a:ext uri="{63B3BB69-23CF-44E3-9099-C40C66FF867C}">
                  <a14:compatExt spid="_x0000_s35904"/>
                </a:ext>
                <a:ext uri="{FF2B5EF4-FFF2-40B4-BE49-F238E27FC236}">
                  <a16:creationId xmlns:a16="http://schemas.microsoft.com/office/drawing/2014/main" id="{89041910-8B28-44B9-84F8-3BC151DD9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85</xdr:row>
          <xdr:rowOff>0</xdr:rowOff>
        </xdr:from>
        <xdr:to>
          <xdr:col>7</xdr:col>
          <xdr:colOff>929640</xdr:colOff>
          <xdr:row>86</xdr:row>
          <xdr:rowOff>30480</xdr:rowOff>
        </xdr:to>
        <xdr:sp macro="" textlink="">
          <xdr:nvSpPr>
            <xdr:cNvPr id="35905" name="Check Box 65" hidden="1">
              <a:extLst>
                <a:ext uri="{63B3BB69-23CF-44E3-9099-C40C66FF867C}">
                  <a14:compatExt spid="_x0000_s35905"/>
                </a:ext>
                <a:ext uri="{FF2B5EF4-FFF2-40B4-BE49-F238E27FC236}">
                  <a16:creationId xmlns:a16="http://schemas.microsoft.com/office/drawing/2014/main" id="{A508DC68-48FB-4F82-98B4-F14FFA3413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85</xdr:row>
          <xdr:rowOff>22860</xdr:rowOff>
        </xdr:from>
        <xdr:to>
          <xdr:col>8</xdr:col>
          <xdr:colOff>1066800</xdr:colOff>
          <xdr:row>86</xdr:row>
          <xdr:rowOff>30480</xdr:rowOff>
        </xdr:to>
        <xdr:sp macro="" textlink="">
          <xdr:nvSpPr>
            <xdr:cNvPr id="35906" name="Check Box 66" hidden="1">
              <a:extLst>
                <a:ext uri="{63B3BB69-23CF-44E3-9099-C40C66FF867C}">
                  <a14:compatExt spid="_x0000_s35906"/>
                </a:ext>
                <a:ext uri="{FF2B5EF4-FFF2-40B4-BE49-F238E27FC236}">
                  <a16:creationId xmlns:a16="http://schemas.microsoft.com/office/drawing/2014/main" id="{89332557-4A43-42D5-95F7-5CFF169DBD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122</xdr:row>
          <xdr:rowOff>0</xdr:rowOff>
        </xdr:from>
        <xdr:to>
          <xdr:col>2</xdr:col>
          <xdr:colOff>137160</xdr:colOff>
          <xdr:row>123</xdr:row>
          <xdr:rowOff>30480</xdr:rowOff>
        </xdr:to>
        <xdr:sp macro="" textlink="">
          <xdr:nvSpPr>
            <xdr:cNvPr id="35907" name="Check Box 67" hidden="1">
              <a:extLst>
                <a:ext uri="{63B3BB69-23CF-44E3-9099-C40C66FF867C}">
                  <a14:compatExt spid="_x0000_s35907"/>
                </a:ext>
                <a:ext uri="{FF2B5EF4-FFF2-40B4-BE49-F238E27FC236}">
                  <a16:creationId xmlns:a16="http://schemas.microsoft.com/office/drawing/2014/main" id="{4C786467-DC70-4D9A-A443-A6CC0ECBD7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122</xdr:row>
          <xdr:rowOff>22860</xdr:rowOff>
        </xdr:from>
        <xdr:to>
          <xdr:col>2</xdr:col>
          <xdr:colOff>1143000</xdr:colOff>
          <xdr:row>123</xdr:row>
          <xdr:rowOff>15240</xdr:rowOff>
        </xdr:to>
        <xdr:sp macro="" textlink="">
          <xdr:nvSpPr>
            <xdr:cNvPr id="35908" name="Check Box 68" hidden="1">
              <a:extLst>
                <a:ext uri="{63B3BB69-23CF-44E3-9099-C40C66FF867C}">
                  <a14:compatExt spid="_x0000_s35908"/>
                </a:ext>
                <a:ext uri="{FF2B5EF4-FFF2-40B4-BE49-F238E27FC236}">
                  <a16:creationId xmlns:a16="http://schemas.microsoft.com/office/drawing/2014/main" id="{491A345E-9669-4BAD-B791-E52A60CEC0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122</xdr:row>
          <xdr:rowOff>0</xdr:rowOff>
        </xdr:from>
        <xdr:to>
          <xdr:col>3</xdr:col>
          <xdr:colOff>929640</xdr:colOff>
          <xdr:row>123</xdr:row>
          <xdr:rowOff>30480</xdr:rowOff>
        </xdr:to>
        <xdr:sp macro="" textlink="">
          <xdr:nvSpPr>
            <xdr:cNvPr id="35909" name="Check Box 69" hidden="1">
              <a:extLst>
                <a:ext uri="{63B3BB69-23CF-44E3-9099-C40C66FF867C}">
                  <a14:compatExt spid="_x0000_s35909"/>
                </a:ext>
                <a:ext uri="{FF2B5EF4-FFF2-40B4-BE49-F238E27FC236}">
                  <a16:creationId xmlns:a16="http://schemas.microsoft.com/office/drawing/2014/main" id="{40A21C6D-1D90-4590-B016-0BF778F6E6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122</xdr:row>
          <xdr:rowOff>22860</xdr:rowOff>
        </xdr:from>
        <xdr:to>
          <xdr:col>4</xdr:col>
          <xdr:colOff>647700</xdr:colOff>
          <xdr:row>123</xdr:row>
          <xdr:rowOff>15240</xdr:rowOff>
        </xdr:to>
        <xdr:sp macro="" textlink="">
          <xdr:nvSpPr>
            <xdr:cNvPr id="35910" name="Check Box 70" hidden="1">
              <a:extLst>
                <a:ext uri="{63B3BB69-23CF-44E3-9099-C40C66FF867C}">
                  <a14:compatExt spid="_x0000_s35910"/>
                </a:ext>
                <a:ext uri="{FF2B5EF4-FFF2-40B4-BE49-F238E27FC236}">
                  <a16:creationId xmlns:a16="http://schemas.microsoft.com/office/drawing/2014/main" id="{E66B04D6-4135-4EBA-A225-3FC6FFF49F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122</xdr:row>
          <xdr:rowOff>0</xdr:rowOff>
        </xdr:from>
        <xdr:to>
          <xdr:col>5</xdr:col>
          <xdr:colOff>929640</xdr:colOff>
          <xdr:row>123</xdr:row>
          <xdr:rowOff>30480</xdr:rowOff>
        </xdr:to>
        <xdr:sp macro="" textlink="">
          <xdr:nvSpPr>
            <xdr:cNvPr id="35911" name="Check Box 71" hidden="1">
              <a:extLst>
                <a:ext uri="{63B3BB69-23CF-44E3-9099-C40C66FF867C}">
                  <a14:compatExt spid="_x0000_s35911"/>
                </a:ext>
                <a:ext uri="{FF2B5EF4-FFF2-40B4-BE49-F238E27FC236}">
                  <a16:creationId xmlns:a16="http://schemas.microsoft.com/office/drawing/2014/main" id="{6FF46BDB-DE5F-46F2-ABD4-ED4FD2BE5D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122</xdr:row>
          <xdr:rowOff>22860</xdr:rowOff>
        </xdr:from>
        <xdr:to>
          <xdr:col>6</xdr:col>
          <xdr:colOff>1059180</xdr:colOff>
          <xdr:row>123</xdr:row>
          <xdr:rowOff>15240</xdr:rowOff>
        </xdr:to>
        <xdr:sp macro="" textlink="">
          <xdr:nvSpPr>
            <xdr:cNvPr id="35912" name="Check Box 72" hidden="1">
              <a:extLst>
                <a:ext uri="{63B3BB69-23CF-44E3-9099-C40C66FF867C}">
                  <a14:compatExt spid="_x0000_s35912"/>
                </a:ext>
                <a:ext uri="{FF2B5EF4-FFF2-40B4-BE49-F238E27FC236}">
                  <a16:creationId xmlns:a16="http://schemas.microsoft.com/office/drawing/2014/main" id="{3507C35F-30F8-4519-8B0D-29D0369713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124</xdr:row>
          <xdr:rowOff>7620</xdr:rowOff>
        </xdr:from>
        <xdr:to>
          <xdr:col>2</xdr:col>
          <xdr:colOff>1150620</xdr:colOff>
          <xdr:row>125</xdr:row>
          <xdr:rowOff>53340</xdr:rowOff>
        </xdr:to>
        <xdr:sp macro="" textlink="">
          <xdr:nvSpPr>
            <xdr:cNvPr id="35913" name="Check Box 73" hidden="1">
              <a:extLst>
                <a:ext uri="{63B3BB69-23CF-44E3-9099-C40C66FF867C}">
                  <a14:compatExt spid="_x0000_s35913"/>
                </a:ext>
                <a:ext uri="{FF2B5EF4-FFF2-40B4-BE49-F238E27FC236}">
                  <a16:creationId xmlns:a16="http://schemas.microsoft.com/office/drawing/2014/main" id="{A65B20EC-32B7-46AD-80AD-292C09A78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124</xdr:row>
          <xdr:rowOff>0</xdr:rowOff>
        </xdr:from>
        <xdr:to>
          <xdr:col>6</xdr:col>
          <xdr:colOff>1402080</xdr:colOff>
          <xdr:row>125</xdr:row>
          <xdr:rowOff>53340</xdr:rowOff>
        </xdr:to>
        <xdr:sp macro="" textlink="">
          <xdr:nvSpPr>
            <xdr:cNvPr id="35914" name="Check Box 74" hidden="1">
              <a:extLst>
                <a:ext uri="{63B3BB69-23CF-44E3-9099-C40C66FF867C}">
                  <a14:compatExt spid="_x0000_s35914"/>
                </a:ext>
                <a:ext uri="{FF2B5EF4-FFF2-40B4-BE49-F238E27FC236}">
                  <a16:creationId xmlns:a16="http://schemas.microsoft.com/office/drawing/2014/main" id="{A492C44E-F0C1-4BA8-9087-5E73DF26A2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124</xdr:row>
          <xdr:rowOff>182880</xdr:rowOff>
        </xdr:from>
        <xdr:to>
          <xdr:col>2</xdr:col>
          <xdr:colOff>1165860</xdr:colOff>
          <xdr:row>126</xdr:row>
          <xdr:rowOff>83820</xdr:rowOff>
        </xdr:to>
        <xdr:sp macro="" textlink="">
          <xdr:nvSpPr>
            <xdr:cNvPr id="35915" name="Check Box 75" hidden="1">
              <a:extLst>
                <a:ext uri="{63B3BB69-23CF-44E3-9099-C40C66FF867C}">
                  <a14:compatExt spid="_x0000_s35915"/>
                </a:ext>
                <a:ext uri="{FF2B5EF4-FFF2-40B4-BE49-F238E27FC236}">
                  <a16:creationId xmlns:a16="http://schemas.microsoft.com/office/drawing/2014/main" id="{A6CFD53E-CFF3-4016-B2BF-BB13D440D1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125</xdr:row>
          <xdr:rowOff>0</xdr:rowOff>
        </xdr:from>
        <xdr:to>
          <xdr:col>6</xdr:col>
          <xdr:colOff>1402080</xdr:colOff>
          <xdr:row>126</xdr:row>
          <xdr:rowOff>53340</xdr:rowOff>
        </xdr:to>
        <xdr:sp macro="" textlink="">
          <xdr:nvSpPr>
            <xdr:cNvPr id="35916" name="Check Box 76" hidden="1">
              <a:extLst>
                <a:ext uri="{63B3BB69-23CF-44E3-9099-C40C66FF867C}">
                  <a14:compatExt spid="_x0000_s35916"/>
                </a:ext>
                <a:ext uri="{FF2B5EF4-FFF2-40B4-BE49-F238E27FC236}">
                  <a16:creationId xmlns:a16="http://schemas.microsoft.com/office/drawing/2014/main" id="{A79C0CB7-D255-44C4-81CC-EEAE4DE59E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126</xdr:row>
          <xdr:rowOff>7620</xdr:rowOff>
        </xdr:from>
        <xdr:to>
          <xdr:col>2</xdr:col>
          <xdr:colOff>1150620</xdr:colOff>
          <xdr:row>127</xdr:row>
          <xdr:rowOff>53340</xdr:rowOff>
        </xdr:to>
        <xdr:sp macro="" textlink="">
          <xdr:nvSpPr>
            <xdr:cNvPr id="35917" name="Check Box 77" hidden="1">
              <a:extLst>
                <a:ext uri="{63B3BB69-23CF-44E3-9099-C40C66FF867C}">
                  <a14:compatExt spid="_x0000_s35917"/>
                </a:ext>
                <a:ext uri="{FF2B5EF4-FFF2-40B4-BE49-F238E27FC236}">
                  <a16:creationId xmlns:a16="http://schemas.microsoft.com/office/drawing/2014/main" id="{C3F60DA8-7604-4880-A0C2-F7FA22C912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126</xdr:row>
          <xdr:rowOff>0</xdr:rowOff>
        </xdr:from>
        <xdr:to>
          <xdr:col>6</xdr:col>
          <xdr:colOff>1402080</xdr:colOff>
          <xdr:row>127</xdr:row>
          <xdr:rowOff>53340</xdr:rowOff>
        </xdr:to>
        <xdr:sp macro="" textlink="">
          <xdr:nvSpPr>
            <xdr:cNvPr id="35918" name="Check Box 78" hidden="1">
              <a:extLst>
                <a:ext uri="{63B3BB69-23CF-44E3-9099-C40C66FF867C}">
                  <a14:compatExt spid="_x0000_s35918"/>
                </a:ext>
                <a:ext uri="{FF2B5EF4-FFF2-40B4-BE49-F238E27FC236}">
                  <a16:creationId xmlns:a16="http://schemas.microsoft.com/office/drawing/2014/main" id="{99887A2D-4F12-4B61-B41B-B8C4877DA8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127</xdr:row>
          <xdr:rowOff>7620</xdr:rowOff>
        </xdr:from>
        <xdr:to>
          <xdr:col>2</xdr:col>
          <xdr:colOff>1150620</xdr:colOff>
          <xdr:row>128</xdr:row>
          <xdr:rowOff>53340</xdr:rowOff>
        </xdr:to>
        <xdr:sp macro="" textlink="">
          <xdr:nvSpPr>
            <xdr:cNvPr id="35919" name="Check Box 79" hidden="1">
              <a:extLst>
                <a:ext uri="{63B3BB69-23CF-44E3-9099-C40C66FF867C}">
                  <a14:compatExt spid="_x0000_s35919"/>
                </a:ext>
                <a:ext uri="{FF2B5EF4-FFF2-40B4-BE49-F238E27FC236}">
                  <a16:creationId xmlns:a16="http://schemas.microsoft.com/office/drawing/2014/main" id="{26369AB6-E302-4C3D-91D6-59A37CCA43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127</xdr:row>
          <xdr:rowOff>0</xdr:rowOff>
        </xdr:from>
        <xdr:to>
          <xdr:col>6</xdr:col>
          <xdr:colOff>1402080</xdr:colOff>
          <xdr:row>128</xdr:row>
          <xdr:rowOff>53340</xdr:rowOff>
        </xdr:to>
        <xdr:sp macro="" textlink="">
          <xdr:nvSpPr>
            <xdr:cNvPr id="35920" name="Check Box 80" hidden="1">
              <a:extLst>
                <a:ext uri="{63B3BB69-23CF-44E3-9099-C40C66FF867C}">
                  <a14:compatExt spid="_x0000_s35920"/>
                </a:ext>
                <a:ext uri="{FF2B5EF4-FFF2-40B4-BE49-F238E27FC236}">
                  <a16:creationId xmlns:a16="http://schemas.microsoft.com/office/drawing/2014/main" id="{721F2E3F-17CF-4C9C-B317-3F97C0C7F6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128</xdr:row>
          <xdr:rowOff>7620</xdr:rowOff>
        </xdr:from>
        <xdr:to>
          <xdr:col>2</xdr:col>
          <xdr:colOff>1150620</xdr:colOff>
          <xdr:row>129</xdr:row>
          <xdr:rowOff>53340</xdr:rowOff>
        </xdr:to>
        <xdr:sp macro="" textlink="">
          <xdr:nvSpPr>
            <xdr:cNvPr id="35921" name="Check Box 81" hidden="1">
              <a:extLst>
                <a:ext uri="{63B3BB69-23CF-44E3-9099-C40C66FF867C}">
                  <a14:compatExt spid="_x0000_s35921"/>
                </a:ext>
                <a:ext uri="{FF2B5EF4-FFF2-40B4-BE49-F238E27FC236}">
                  <a16:creationId xmlns:a16="http://schemas.microsoft.com/office/drawing/2014/main" id="{48406757-E5F8-4432-828A-CA871958C9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128</xdr:row>
          <xdr:rowOff>0</xdr:rowOff>
        </xdr:from>
        <xdr:to>
          <xdr:col>6</xdr:col>
          <xdr:colOff>1402080</xdr:colOff>
          <xdr:row>129</xdr:row>
          <xdr:rowOff>53340</xdr:rowOff>
        </xdr:to>
        <xdr:sp macro="" textlink="">
          <xdr:nvSpPr>
            <xdr:cNvPr id="35922" name="Check Box 82" hidden="1">
              <a:extLst>
                <a:ext uri="{63B3BB69-23CF-44E3-9099-C40C66FF867C}">
                  <a14:compatExt spid="_x0000_s35922"/>
                </a:ext>
                <a:ext uri="{FF2B5EF4-FFF2-40B4-BE49-F238E27FC236}">
                  <a16:creationId xmlns:a16="http://schemas.microsoft.com/office/drawing/2014/main" id="{1E4BB74C-90D2-405D-9337-D820AFA3ED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129</xdr:row>
          <xdr:rowOff>7620</xdr:rowOff>
        </xdr:from>
        <xdr:to>
          <xdr:col>2</xdr:col>
          <xdr:colOff>1150620</xdr:colOff>
          <xdr:row>130</xdr:row>
          <xdr:rowOff>53340</xdr:rowOff>
        </xdr:to>
        <xdr:sp macro="" textlink="">
          <xdr:nvSpPr>
            <xdr:cNvPr id="35923" name="Check Box 83" hidden="1">
              <a:extLst>
                <a:ext uri="{63B3BB69-23CF-44E3-9099-C40C66FF867C}">
                  <a14:compatExt spid="_x0000_s35923"/>
                </a:ext>
                <a:ext uri="{FF2B5EF4-FFF2-40B4-BE49-F238E27FC236}">
                  <a16:creationId xmlns:a16="http://schemas.microsoft.com/office/drawing/2014/main" id="{4E0C718C-4D2F-4767-9C0E-F22B5CE287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129</xdr:row>
          <xdr:rowOff>0</xdr:rowOff>
        </xdr:from>
        <xdr:to>
          <xdr:col>6</xdr:col>
          <xdr:colOff>1402080</xdr:colOff>
          <xdr:row>130</xdr:row>
          <xdr:rowOff>53340</xdr:rowOff>
        </xdr:to>
        <xdr:sp macro="" textlink="">
          <xdr:nvSpPr>
            <xdr:cNvPr id="35924" name="Check Box 84" hidden="1">
              <a:extLst>
                <a:ext uri="{63B3BB69-23CF-44E3-9099-C40C66FF867C}">
                  <a14:compatExt spid="_x0000_s35924"/>
                </a:ext>
                <a:ext uri="{FF2B5EF4-FFF2-40B4-BE49-F238E27FC236}">
                  <a16:creationId xmlns:a16="http://schemas.microsoft.com/office/drawing/2014/main" id="{99E31597-79E7-45E5-8D59-DD0A520FC3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130</xdr:row>
          <xdr:rowOff>7620</xdr:rowOff>
        </xdr:from>
        <xdr:to>
          <xdr:col>2</xdr:col>
          <xdr:colOff>1150620</xdr:colOff>
          <xdr:row>131</xdr:row>
          <xdr:rowOff>53340</xdr:rowOff>
        </xdr:to>
        <xdr:sp macro="" textlink="">
          <xdr:nvSpPr>
            <xdr:cNvPr id="35925" name="Check Box 85" hidden="1">
              <a:extLst>
                <a:ext uri="{63B3BB69-23CF-44E3-9099-C40C66FF867C}">
                  <a14:compatExt spid="_x0000_s35925"/>
                </a:ext>
                <a:ext uri="{FF2B5EF4-FFF2-40B4-BE49-F238E27FC236}">
                  <a16:creationId xmlns:a16="http://schemas.microsoft.com/office/drawing/2014/main" id="{31C7DC65-FD16-4248-AE5D-4448B5CCF7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131</xdr:row>
          <xdr:rowOff>7620</xdr:rowOff>
        </xdr:from>
        <xdr:to>
          <xdr:col>2</xdr:col>
          <xdr:colOff>1150620</xdr:colOff>
          <xdr:row>132</xdr:row>
          <xdr:rowOff>53340</xdr:rowOff>
        </xdr:to>
        <xdr:sp macro="" textlink="">
          <xdr:nvSpPr>
            <xdr:cNvPr id="35926" name="Check Box 86" hidden="1">
              <a:extLst>
                <a:ext uri="{63B3BB69-23CF-44E3-9099-C40C66FF867C}">
                  <a14:compatExt spid="_x0000_s35926"/>
                </a:ext>
                <a:ext uri="{FF2B5EF4-FFF2-40B4-BE49-F238E27FC236}">
                  <a16:creationId xmlns:a16="http://schemas.microsoft.com/office/drawing/2014/main" id="{ED775D23-3D0B-40FE-B301-02E5E3DE35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122</xdr:row>
          <xdr:rowOff>0</xdr:rowOff>
        </xdr:from>
        <xdr:to>
          <xdr:col>7</xdr:col>
          <xdr:colOff>929640</xdr:colOff>
          <xdr:row>123</xdr:row>
          <xdr:rowOff>30480</xdr:rowOff>
        </xdr:to>
        <xdr:sp macro="" textlink="">
          <xdr:nvSpPr>
            <xdr:cNvPr id="35927" name="Check Box 87" hidden="1">
              <a:extLst>
                <a:ext uri="{63B3BB69-23CF-44E3-9099-C40C66FF867C}">
                  <a14:compatExt spid="_x0000_s35927"/>
                </a:ext>
                <a:ext uri="{FF2B5EF4-FFF2-40B4-BE49-F238E27FC236}">
                  <a16:creationId xmlns:a16="http://schemas.microsoft.com/office/drawing/2014/main" id="{AC841F84-A69B-405C-A61B-50751EEB93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122</xdr:row>
          <xdr:rowOff>22860</xdr:rowOff>
        </xdr:from>
        <xdr:to>
          <xdr:col>8</xdr:col>
          <xdr:colOff>1066800</xdr:colOff>
          <xdr:row>123</xdr:row>
          <xdr:rowOff>30480</xdr:rowOff>
        </xdr:to>
        <xdr:sp macro="" textlink="">
          <xdr:nvSpPr>
            <xdr:cNvPr id="35928" name="Check Box 88" hidden="1">
              <a:extLst>
                <a:ext uri="{63B3BB69-23CF-44E3-9099-C40C66FF867C}">
                  <a14:compatExt spid="_x0000_s35928"/>
                </a:ext>
                <a:ext uri="{FF2B5EF4-FFF2-40B4-BE49-F238E27FC236}">
                  <a16:creationId xmlns:a16="http://schemas.microsoft.com/office/drawing/2014/main" id="{95C6FECD-DD4A-4661-B728-555BC5E4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159</xdr:row>
          <xdr:rowOff>0</xdr:rowOff>
        </xdr:from>
        <xdr:to>
          <xdr:col>2</xdr:col>
          <xdr:colOff>137160</xdr:colOff>
          <xdr:row>160</xdr:row>
          <xdr:rowOff>30480</xdr:rowOff>
        </xdr:to>
        <xdr:sp macro="" textlink="">
          <xdr:nvSpPr>
            <xdr:cNvPr id="35929" name="Check Box 89" hidden="1">
              <a:extLst>
                <a:ext uri="{63B3BB69-23CF-44E3-9099-C40C66FF867C}">
                  <a14:compatExt spid="_x0000_s35929"/>
                </a:ext>
                <a:ext uri="{FF2B5EF4-FFF2-40B4-BE49-F238E27FC236}">
                  <a16:creationId xmlns:a16="http://schemas.microsoft.com/office/drawing/2014/main" id="{A70AFD90-57A6-49A8-A0B6-260D18E3ED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159</xdr:row>
          <xdr:rowOff>22860</xdr:rowOff>
        </xdr:from>
        <xdr:to>
          <xdr:col>2</xdr:col>
          <xdr:colOff>1143000</xdr:colOff>
          <xdr:row>160</xdr:row>
          <xdr:rowOff>15240</xdr:rowOff>
        </xdr:to>
        <xdr:sp macro="" textlink="">
          <xdr:nvSpPr>
            <xdr:cNvPr id="35930" name="Check Box 90" hidden="1">
              <a:extLst>
                <a:ext uri="{63B3BB69-23CF-44E3-9099-C40C66FF867C}">
                  <a14:compatExt spid="_x0000_s35930"/>
                </a:ext>
                <a:ext uri="{FF2B5EF4-FFF2-40B4-BE49-F238E27FC236}">
                  <a16:creationId xmlns:a16="http://schemas.microsoft.com/office/drawing/2014/main" id="{B2ABBC8D-3712-4D1B-A109-49B360E643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159</xdr:row>
          <xdr:rowOff>0</xdr:rowOff>
        </xdr:from>
        <xdr:to>
          <xdr:col>3</xdr:col>
          <xdr:colOff>929640</xdr:colOff>
          <xdr:row>160</xdr:row>
          <xdr:rowOff>30480</xdr:rowOff>
        </xdr:to>
        <xdr:sp macro="" textlink="">
          <xdr:nvSpPr>
            <xdr:cNvPr id="35931" name="Check Box 91" hidden="1">
              <a:extLst>
                <a:ext uri="{63B3BB69-23CF-44E3-9099-C40C66FF867C}">
                  <a14:compatExt spid="_x0000_s35931"/>
                </a:ext>
                <a:ext uri="{FF2B5EF4-FFF2-40B4-BE49-F238E27FC236}">
                  <a16:creationId xmlns:a16="http://schemas.microsoft.com/office/drawing/2014/main" id="{7336E317-C046-407A-924D-22F23E2F3A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159</xdr:row>
          <xdr:rowOff>22860</xdr:rowOff>
        </xdr:from>
        <xdr:to>
          <xdr:col>4</xdr:col>
          <xdr:colOff>647700</xdr:colOff>
          <xdr:row>160</xdr:row>
          <xdr:rowOff>15240</xdr:rowOff>
        </xdr:to>
        <xdr:sp macro="" textlink="">
          <xdr:nvSpPr>
            <xdr:cNvPr id="35932" name="Check Box 92" hidden="1">
              <a:extLst>
                <a:ext uri="{63B3BB69-23CF-44E3-9099-C40C66FF867C}">
                  <a14:compatExt spid="_x0000_s35932"/>
                </a:ext>
                <a:ext uri="{FF2B5EF4-FFF2-40B4-BE49-F238E27FC236}">
                  <a16:creationId xmlns:a16="http://schemas.microsoft.com/office/drawing/2014/main" id="{9E099486-6CC8-47B3-89BF-35FDB1F7D8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159</xdr:row>
          <xdr:rowOff>0</xdr:rowOff>
        </xdr:from>
        <xdr:to>
          <xdr:col>5</xdr:col>
          <xdr:colOff>929640</xdr:colOff>
          <xdr:row>160</xdr:row>
          <xdr:rowOff>30480</xdr:rowOff>
        </xdr:to>
        <xdr:sp macro="" textlink="">
          <xdr:nvSpPr>
            <xdr:cNvPr id="35933" name="Check Box 93" hidden="1">
              <a:extLst>
                <a:ext uri="{63B3BB69-23CF-44E3-9099-C40C66FF867C}">
                  <a14:compatExt spid="_x0000_s35933"/>
                </a:ext>
                <a:ext uri="{FF2B5EF4-FFF2-40B4-BE49-F238E27FC236}">
                  <a16:creationId xmlns:a16="http://schemas.microsoft.com/office/drawing/2014/main" id="{16793531-F997-40A0-991A-2A3573F5BB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159</xdr:row>
          <xdr:rowOff>22860</xdr:rowOff>
        </xdr:from>
        <xdr:to>
          <xdr:col>6</xdr:col>
          <xdr:colOff>1059180</xdr:colOff>
          <xdr:row>160</xdr:row>
          <xdr:rowOff>15240</xdr:rowOff>
        </xdr:to>
        <xdr:sp macro="" textlink="">
          <xdr:nvSpPr>
            <xdr:cNvPr id="35934" name="Check Box 94" hidden="1">
              <a:extLst>
                <a:ext uri="{63B3BB69-23CF-44E3-9099-C40C66FF867C}">
                  <a14:compatExt spid="_x0000_s35934"/>
                </a:ext>
                <a:ext uri="{FF2B5EF4-FFF2-40B4-BE49-F238E27FC236}">
                  <a16:creationId xmlns:a16="http://schemas.microsoft.com/office/drawing/2014/main" id="{235EA29C-BC3C-4650-BBEA-526FF36A27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161</xdr:row>
          <xdr:rowOff>7620</xdr:rowOff>
        </xdr:from>
        <xdr:to>
          <xdr:col>2</xdr:col>
          <xdr:colOff>1150620</xdr:colOff>
          <xdr:row>162</xdr:row>
          <xdr:rowOff>53340</xdr:rowOff>
        </xdr:to>
        <xdr:sp macro="" textlink="">
          <xdr:nvSpPr>
            <xdr:cNvPr id="35935" name="Check Box 95" hidden="1">
              <a:extLst>
                <a:ext uri="{63B3BB69-23CF-44E3-9099-C40C66FF867C}">
                  <a14:compatExt spid="_x0000_s35935"/>
                </a:ext>
                <a:ext uri="{FF2B5EF4-FFF2-40B4-BE49-F238E27FC236}">
                  <a16:creationId xmlns:a16="http://schemas.microsoft.com/office/drawing/2014/main" id="{18317DE9-4ACE-4AC5-9722-CDC5E5C59F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161</xdr:row>
          <xdr:rowOff>0</xdr:rowOff>
        </xdr:from>
        <xdr:to>
          <xdr:col>6</xdr:col>
          <xdr:colOff>1402080</xdr:colOff>
          <xdr:row>162</xdr:row>
          <xdr:rowOff>53340</xdr:rowOff>
        </xdr:to>
        <xdr:sp macro="" textlink="">
          <xdr:nvSpPr>
            <xdr:cNvPr id="35936" name="Check Box 96" hidden="1">
              <a:extLst>
                <a:ext uri="{63B3BB69-23CF-44E3-9099-C40C66FF867C}">
                  <a14:compatExt spid="_x0000_s35936"/>
                </a:ext>
                <a:ext uri="{FF2B5EF4-FFF2-40B4-BE49-F238E27FC236}">
                  <a16:creationId xmlns:a16="http://schemas.microsoft.com/office/drawing/2014/main" id="{5EFEFF69-2028-4B4B-84B1-ED4CFC96D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161</xdr:row>
          <xdr:rowOff>182880</xdr:rowOff>
        </xdr:from>
        <xdr:to>
          <xdr:col>2</xdr:col>
          <xdr:colOff>1165860</xdr:colOff>
          <xdr:row>163</xdr:row>
          <xdr:rowOff>83820</xdr:rowOff>
        </xdr:to>
        <xdr:sp macro="" textlink="">
          <xdr:nvSpPr>
            <xdr:cNvPr id="35937" name="Check Box 97" hidden="1">
              <a:extLst>
                <a:ext uri="{63B3BB69-23CF-44E3-9099-C40C66FF867C}">
                  <a14:compatExt spid="_x0000_s35937"/>
                </a:ext>
                <a:ext uri="{FF2B5EF4-FFF2-40B4-BE49-F238E27FC236}">
                  <a16:creationId xmlns:a16="http://schemas.microsoft.com/office/drawing/2014/main" id="{A7A67898-A228-4908-B888-1A24169689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162</xdr:row>
          <xdr:rowOff>0</xdr:rowOff>
        </xdr:from>
        <xdr:to>
          <xdr:col>6</xdr:col>
          <xdr:colOff>1402080</xdr:colOff>
          <xdr:row>163</xdr:row>
          <xdr:rowOff>53340</xdr:rowOff>
        </xdr:to>
        <xdr:sp macro="" textlink="">
          <xdr:nvSpPr>
            <xdr:cNvPr id="35938" name="Check Box 98" hidden="1">
              <a:extLst>
                <a:ext uri="{63B3BB69-23CF-44E3-9099-C40C66FF867C}">
                  <a14:compatExt spid="_x0000_s35938"/>
                </a:ext>
                <a:ext uri="{FF2B5EF4-FFF2-40B4-BE49-F238E27FC236}">
                  <a16:creationId xmlns:a16="http://schemas.microsoft.com/office/drawing/2014/main" id="{3FF3E047-68E0-4E2A-8728-4F8C2E96D5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163</xdr:row>
          <xdr:rowOff>7620</xdr:rowOff>
        </xdr:from>
        <xdr:to>
          <xdr:col>2</xdr:col>
          <xdr:colOff>1150620</xdr:colOff>
          <xdr:row>164</xdr:row>
          <xdr:rowOff>53340</xdr:rowOff>
        </xdr:to>
        <xdr:sp macro="" textlink="">
          <xdr:nvSpPr>
            <xdr:cNvPr id="35939" name="Check Box 99" hidden="1">
              <a:extLst>
                <a:ext uri="{63B3BB69-23CF-44E3-9099-C40C66FF867C}">
                  <a14:compatExt spid="_x0000_s35939"/>
                </a:ext>
                <a:ext uri="{FF2B5EF4-FFF2-40B4-BE49-F238E27FC236}">
                  <a16:creationId xmlns:a16="http://schemas.microsoft.com/office/drawing/2014/main" id="{49AAD007-50F5-4F73-AA77-169BD60703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163</xdr:row>
          <xdr:rowOff>0</xdr:rowOff>
        </xdr:from>
        <xdr:to>
          <xdr:col>6</xdr:col>
          <xdr:colOff>1402080</xdr:colOff>
          <xdr:row>164</xdr:row>
          <xdr:rowOff>53340</xdr:rowOff>
        </xdr:to>
        <xdr:sp macro="" textlink="">
          <xdr:nvSpPr>
            <xdr:cNvPr id="35940" name="Check Box 100" hidden="1">
              <a:extLst>
                <a:ext uri="{63B3BB69-23CF-44E3-9099-C40C66FF867C}">
                  <a14:compatExt spid="_x0000_s35940"/>
                </a:ext>
                <a:ext uri="{FF2B5EF4-FFF2-40B4-BE49-F238E27FC236}">
                  <a16:creationId xmlns:a16="http://schemas.microsoft.com/office/drawing/2014/main" id="{8337BE18-E783-4490-9935-F39441800D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164</xdr:row>
          <xdr:rowOff>7620</xdr:rowOff>
        </xdr:from>
        <xdr:to>
          <xdr:col>2</xdr:col>
          <xdr:colOff>1150620</xdr:colOff>
          <xdr:row>165</xdr:row>
          <xdr:rowOff>53340</xdr:rowOff>
        </xdr:to>
        <xdr:sp macro="" textlink="">
          <xdr:nvSpPr>
            <xdr:cNvPr id="35941" name="Check Box 101" hidden="1">
              <a:extLst>
                <a:ext uri="{63B3BB69-23CF-44E3-9099-C40C66FF867C}">
                  <a14:compatExt spid="_x0000_s35941"/>
                </a:ext>
                <a:ext uri="{FF2B5EF4-FFF2-40B4-BE49-F238E27FC236}">
                  <a16:creationId xmlns:a16="http://schemas.microsoft.com/office/drawing/2014/main" id="{EDF267CA-4549-47A7-A3C6-AF35CA330C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164</xdr:row>
          <xdr:rowOff>0</xdr:rowOff>
        </xdr:from>
        <xdr:to>
          <xdr:col>6</xdr:col>
          <xdr:colOff>1402080</xdr:colOff>
          <xdr:row>165</xdr:row>
          <xdr:rowOff>53340</xdr:rowOff>
        </xdr:to>
        <xdr:sp macro="" textlink="">
          <xdr:nvSpPr>
            <xdr:cNvPr id="35942" name="Check Box 102" hidden="1">
              <a:extLst>
                <a:ext uri="{63B3BB69-23CF-44E3-9099-C40C66FF867C}">
                  <a14:compatExt spid="_x0000_s35942"/>
                </a:ext>
                <a:ext uri="{FF2B5EF4-FFF2-40B4-BE49-F238E27FC236}">
                  <a16:creationId xmlns:a16="http://schemas.microsoft.com/office/drawing/2014/main" id="{EA970DA6-C139-47F6-9432-28D46FA4A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165</xdr:row>
          <xdr:rowOff>7620</xdr:rowOff>
        </xdr:from>
        <xdr:to>
          <xdr:col>2</xdr:col>
          <xdr:colOff>1150620</xdr:colOff>
          <xdr:row>166</xdr:row>
          <xdr:rowOff>53340</xdr:rowOff>
        </xdr:to>
        <xdr:sp macro="" textlink="">
          <xdr:nvSpPr>
            <xdr:cNvPr id="35943" name="Check Box 103" hidden="1">
              <a:extLst>
                <a:ext uri="{63B3BB69-23CF-44E3-9099-C40C66FF867C}">
                  <a14:compatExt spid="_x0000_s35943"/>
                </a:ext>
                <a:ext uri="{FF2B5EF4-FFF2-40B4-BE49-F238E27FC236}">
                  <a16:creationId xmlns:a16="http://schemas.microsoft.com/office/drawing/2014/main" id="{95BF42F6-63DF-4877-B529-412CA351AE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165</xdr:row>
          <xdr:rowOff>0</xdr:rowOff>
        </xdr:from>
        <xdr:to>
          <xdr:col>6</xdr:col>
          <xdr:colOff>1402080</xdr:colOff>
          <xdr:row>166</xdr:row>
          <xdr:rowOff>53340</xdr:rowOff>
        </xdr:to>
        <xdr:sp macro="" textlink="">
          <xdr:nvSpPr>
            <xdr:cNvPr id="35944" name="Check Box 104" hidden="1">
              <a:extLst>
                <a:ext uri="{63B3BB69-23CF-44E3-9099-C40C66FF867C}">
                  <a14:compatExt spid="_x0000_s35944"/>
                </a:ext>
                <a:ext uri="{FF2B5EF4-FFF2-40B4-BE49-F238E27FC236}">
                  <a16:creationId xmlns:a16="http://schemas.microsoft.com/office/drawing/2014/main" id="{55498292-AC6C-44F3-9EFC-97F5A46C8C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166</xdr:row>
          <xdr:rowOff>7620</xdr:rowOff>
        </xdr:from>
        <xdr:to>
          <xdr:col>2</xdr:col>
          <xdr:colOff>1150620</xdr:colOff>
          <xdr:row>167</xdr:row>
          <xdr:rowOff>53340</xdr:rowOff>
        </xdr:to>
        <xdr:sp macro="" textlink="">
          <xdr:nvSpPr>
            <xdr:cNvPr id="35945" name="Check Box 105" hidden="1">
              <a:extLst>
                <a:ext uri="{63B3BB69-23CF-44E3-9099-C40C66FF867C}">
                  <a14:compatExt spid="_x0000_s35945"/>
                </a:ext>
                <a:ext uri="{FF2B5EF4-FFF2-40B4-BE49-F238E27FC236}">
                  <a16:creationId xmlns:a16="http://schemas.microsoft.com/office/drawing/2014/main" id="{D8F30214-1516-4897-B9DE-85DE58C93E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166</xdr:row>
          <xdr:rowOff>0</xdr:rowOff>
        </xdr:from>
        <xdr:to>
          <xdr:col>6</xdr:col>
          <xdr:colOff>1402080</xdr:colOff>
          <xdr:row>167</xdr:row>
          <xdr:rowOff>53340</xdr:rowOff>
        </xdr:to>
        <xdr:sp macro="" textlink="">
          <xdr:nvSpPr>
            <xdr:cNvPr id="35946" name="Check Box 106" hidden="1">
              <a:extLst>
                <a:ext uri="{63B3BB69-23CF-44E3-9099-C40C66FF867C}">
                  <a14:compatExt spid="_x0000_s35946"/>
                </a:ext>
                <a:ext uri="{FF2B5EF4-FFF2-40B4-BE49-F238E27FC236}">
                  <a16:creationId xmlns:a16="http://schemas.microsoft.com/office/drawing/2014/main" id="{CE24BDA6-AE8C-4E83-B2A9-CD3189AED5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167</xdr:row>
          <xdr:rowOff>7620</xdr:rowOff>
        </xdr:from>
        <xdr:to>
          <xdr:col>2</xdr:col>
          <xdr:colOff>1150620</xdr:colOff>
          <xdr:row>168</xdr:row>
          <xdr:rowOff>53340</xdr:rowOff>
        </xdr:to>
        <xdr:sp macro="" textlink="">
          <xdr:nvSpPr>
            <xdr:cNvPr id="35947" name="Check Box 107" hidden="1">
              <a:extLst>
                <a:ext uri="{63B3BB69-23CF-44E3-9099-C40C66FF867C}">
                  <a14:compatExt spid="_x0000_s35947"/>
                </a:ext>
                <a:ext uri="{FF2B5EF4-FFF2-40B4-BE49-F238E27FC236}">
                  <a16:creationId xmlns:a16="http://schemas.microsoft.com/office/drawing/2014/main" id="{1BA5F0F2-6621-4A79-9E55-118CB9F833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168</xdr:row>
          <xdr:rowOff>7620</xdr:rowOff>
        </xdr:from>
        <xdr:to>
          <xdr:col>2</xdr:col>
          <xdr:colOff>1150620</xdr:colOff>
          <xdr:row>169</xdr:row>
          <xdr:rowOff>53340</xdr:rowOff>
        </xdr:to>
        <xdr:sp macro="" textlink="">
          <xdr:nvSpPr>
            <xdr:cNvPr id="35948" name="Check Box 108" hidden="1">
              <a:extLst>
                <a:ext uri="{63B3BB69-23CF-44E3-9099-C40C66FF867C}">
                  <a14:compatExt spid="_x0000_s35948"/>
                </a:ext>
                <a:ext uri="{FF2B5EF4-FFF2-40B4-BE49-F238E27FC236}">
                  <a16:creationId xmlns:a16="http://schemas.microsoft.com/office/drawing/2014/main" id="{727510BF-92D4-4086-804F-0AE6A65C3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159</xdr:row>
          <xdr:rowOff>0</xdr:rowOff>
        </xdr:from>
        <xdr:to>
          <xdr:col>7</xdr:col>
          <xdr:colOff>929640</xdr:colOff>
          <xdr:row>160</xdr:row>
          <xdr:rowOff>30480</xdr:rowOff>
        </xdr:to>
        <xdr:sp macro="" textlink="">
          <xdr:nvSpPr>
            <xdr:cNvPr id="35949" name="Check Box 109" hidden="1">
              <a:extLst>
                <a:ext uri="{63B3BB69-23CF-44E3-9099-C40C66FF867C}">
                  <a14:compatExt spid="_x0000_s35949"/>
                </a:ext>
                <a:ext uri="{FF2B5EF4-FFF2-40B4-BE49-F238E27FC236}">
                  <a16:creationId xmlns:a16="http://schemas.microsoft.com/office/drawing/2014/main" id="{08FBF563-7897-4723-978B-03143A026D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159</xdr:row>
          <xdr:rowOff>22860</xdr:rowOff>
        </xdr:from>
        <xdr:to>
          <xdr:col>8</xdr:col>
          <xdr:colOff>1066800</xdr:colOff>
          <xdr:row>160</xdr:row>
          <xdr:rowOff>30480</xdr:rowOff>
        </xdr:to>
        <xdr:sp macro="" textlink="">
          <xdr:nvSpPr>
            <xdr:cNvPr id="35950" name="Check Box 110" hidden="1">
              <a:extLst>
                <a:ext uri="{63B3BB69-23CF-44E3-9099-C40C66FF867C}">
                  <a14:compatExt spid="_x0000_s35950"/>
                </a:ext>
                <a:ext uri="{FF2B5EF4-FFF2-40B4-BE49-F238E27FC236}">
                  <a16:creationId xmlns:a16="http://schemas.microsoft.com/office/drawing/2014/main" id="{4A5A1155-2FED-4C84-BFD7-1E7801FAFB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9</xdr:col>
      <xdr:colOff>184317</xdr:colOff>
      <xdr:row>1</xdr:row>
      <xdr:rowOff>114077</xdr:rowOff>
    </xdr:from>
    <xdr:to>
      <xdr:col>10</xdr:col>
      <xdr:colOff>740577</xdr:colOff>
      <xdr:row>8</xdr:row>
      <xdr:rowOff>175037</xdr:rowOff>
    </xdr:to>
    <xdr:pic>
      <xdr:nvPicPr>
        <xdr:cNvPr id="4" name="Picture 3" descr="Picture of the WisDOT logo">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srcRect/>
        <a:stretch>
          <a:fillRect/>
        </a:stretch>
      </xdr:blipFill>
      <xdr:spPr bwMode="auto">
        <a:xfrm>
          <a:off x="9976017" y="314102"/>
          <a:ext cx="1463040" cy="1463040"/>
        </a:xfrm>
        <a:prstGeom prst="ellipse">
          <a:avLst/>
        </a:prstGeom>
        <a:ln>
          <a:noFill/>
        </a:ln>
        <a:effectLst/>
      </xdr:spPr>
    </xdr:pic>
    <xdr:clientData/>
  </xdr:twoCellAnchor>
  <xdr:twoCellAnchor>
    <xdr:from>
      <xdr:col>6</xdr:col>
      <xdr:colOff>0</xdr:colOff>
      <xdr:row>20</xdr:row>
      <xdr:rowOff>0</xdr:rowOff>
    </xdr:from>
    <xdr:to>
      <xdr:col>11</xdr:col>
      <xdr:colOff>847725</xdr:colOff>
      <xdr:row>38</xdr:row>
      <xdr:rowOff>200025</xdr:rowOff>
    </xdr:to>
    <xdr:graphicFrame macro="">
      <xdr:nvGraphicFramePr>
        <xdr:cNvPr id="3" name="Chart 2" descr="Aggregate Individual Perccent Passing Chart">
          <a:extLst>
            <a:ext uri="{FF2B5EF4-FFF2-40B4-BE49-F238E27FC236}">
              <a16:creationId xmlns:a16="http://schemas.microsoft.com/office/drawing/2014/main" id="{00000000-0008-0000-03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479275</xdr:colOff>
      <xdr:row>10</xdr:row>
      <xdr:rowOff>2279</xdr:rowOff>
    </xdr:from>
    <xdr:to>
      <xdr:col>6</xdr:col>
      <xdr:colOff>744070</xdr:colOff>
      <xdr:row>15</xdr:row>
      <xdr:rowOff>112769</xdr:rowOff>
    </xdr:to>
    <xdr:pic>
      <xdr:nvPicPr>
        <xdr:cNvPr id="3" name="Picture 2" descr="Picture of WisDOT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srcRect/>
        <a:stretch>
          <a:fillRect/>
        </a:stretch>
      </xdr:blipFill>
      <xdr:spPr bwMode="auto">
        <a:xfrm>
          <a:off x="8156425" y="2012054"/>
          <a:ext cx="1463040" cy="1463040"/>
        </a:xfrm>
        <a:prstGeom prst="ellipse">
          <a:avLst/>
        </a:prstGeom>
        <a:ln>
          <a:noFill/>
        </a:ln>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761243</xdr:colOff>
      <xdr:row>0</xdr:row>
      <xdr:rowOff>103739</xdr:rowOff>
    </xdr:from>
    <xdr:to>
      <xdr:col>10</xdr:col>
      <xdr:colOff>746003</xdr:colOff>
      <xdr:row>7</xdr:row>
      <xdr:rowOff>174224</xdr:rowOff>
    </xdr:to>
    <xdr:pic>
      <xdr:nvPicPr>
        <xdr:cNvPr id="7" name="Picture 6" descr="Picture of WisDOT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srcRect/>
        <a:stretch>
          <a:fillRect/>
        </a:stretch>
      </xdr:blipFill>
      <xdr:spPr bwMode="auto">
        <a:xfrm>
          <a:off x="11038718" y="103739"/>
          <a:ext cx="1463040" cy="1463040"/>
        </a:xfrm>
        <a:prstGeom prst="ellipse">
          <a:avLst/>
        </a:prstGeom>
        <a:ln>
          <a:noFill/>
        </a:ln>
        <a:effectLst/>
      </xdr:spPr>
    </xdr:pic>
    <xdr:clientData/>
  </xdr:twoCellAnchor>
  <xdr:twoCellAnchor>
    <xdr:from>
      <xdr:col>4</xdr:col>
      <xdr:colOff>0</xdr:colOff>
      <xdr:row>29</xdr:row>
      <xdr:rowOff>0</xdr:rowOff>
    </xdr:from>
    <xdr:to>
      <xdr:col>9</xdr:col>
      <xdr:colOff>904875</xdr:colOff>
      <xdr:row>44</xdr:row>
      <xdr:rowOff>152400</xdr:rowOff>
    </xdr:to>
    <xdr:graphicFrame macro="">
      <xdr:nvGraphicFramePr>
        <xdr:cNvPr id="10" name="Chart 2" descr="Aggregate Gradation Combined Percent Passing Chart">
          <a:extLst>
            <a:ext uri="{FF2B5EF4-FFF2-40B4-BE49-F238E27FC236}">
              <a16:creationId xmlns:a16="http://schemas.microsoft.com/office/drawing/2014/main" id="{00000000-0008-0000-05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11</xdr:row>
      <xdr:rowOff>29695</xdr:rowOff>
    </xdr:from>
    <xdr:to>
      <xdr:col>12</xdr:col>
      <xdr:colOff>497966</xdr:colOff>
      <xdr:row>29</xdr:row>
      <xdr:rowOff>1119</xdr:rowOff>
    </xdr:to>
    <xdr:graphicFrame macro="">
      <xdr:nvGraphicFramePr>
        <xdr:cNvPr id="5" name="Chart 4" descr="Aggregate Gradation Individual Percent Passing">
          <a:extLst>
            <a:ext uri="{FF2B5EF4-FFF2-40B4-BE49-F238E27FC236}">
              <a16:creationId xmlns:a16="http://schemas.microsoft.com/office/drawing/2014/main" id="{00000000-0008-0000-05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332615</xdr:colOff>
      <xdr:row>0</xdr:row>
      <xdr:rowOff>122789</xdr:rowOff>
    </xdr:from>
    <xdr:to>
      <xdr:col>12</xdr:col>
      <xdr:colOff>593600</xdr:colOff>
      <xdr:row>7</xdr:row>
      <xdr:rowOff>134219</xdr:rowOff>
    </xdr:to>
    <xdr:pic>
      <xdr:nvPicPr>
        <xdr:cNvPr id="2" name="Picture 1" descr="Picture of WisDOT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rcRect/>
        <a:stretch>
          <a:fillRect/>
        </a:stretch>
      </xdr:blipFill>
      <xdr:spPr bwMode="auto">
        <a:xfrm>
          <a:off x="12562715" y="122789"/>
          <a:ext cx="1463040" cy="1463040"/>
        </a:xfrm>
        <a:prstGeom prst="ellipse">
          <a:avLst/>
        </a:prstGeom>
        <a:ln>
          <a:noFill/>
        </a:ln>
        <a:effectLst/>
      </xdr:spPr>
    </xdr:pic>
    <xdr:clientData/>
  </xdr:twoCellAnchor>
  <xdr:twoCellAnchor>
    <xdr:from>
      <xdr:col>0</xdr:col>
      <xdr:colOff>0</xdr:colOff>
      <xdr:row>18</xdr:row>
      <xdr:rowOff>0</xdr:rowOff>
    </xdr:from>
    <xdr:to>
      <xdr:col>6</xdr:col>
      <xdr:colOff>552449</xdr:colOff>
      <xdr:row>36</xdr:row>
      <xdr:rowOff>57150</xdr:rowOff>
    </xdr:to>
    <xdr:graphicFrame macro="">
      <xdr:nvGraphicFramePr>
        <xdr:cNvPr id="13" name="Chart 12" descr="Aggregate Gradation Individual Percent Passing">
          <a:extLst>
            <a:ext uri="{FF2B5EF4-FFF2-40B4-BE49-F238E27FC236}">
              <a16:creationId xmlns:a16="http://schemas.microsoft.com/office/drawing/2014/main" id="{00000000-0008-0000-0600-00000D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690287</xdr:colOff>
      <xdr:row>18</xdr:row>
      <xdr:rowOff>0</xdr:rowOff>
    </xdr:from>
    <xdr:to>
      <xdr:col>12</xdr:col>
      <xdr:colOff>752480</xdr:colOff>
      <xdr:row>36</xdr:row>
      <xdr:rowOff>57149</xdr:rowOff>
    </xdr:to>
    <xdr:graphicFrame macro="">
      <xdr:nvGraphicFramePr>
        <xdr:cNvPr id="18" name="Chart 2" descr="Aggregate Gradation Combined Percent Passing">
          <a:extLst>
            <a:ext uri="{FF2B5EF4-FFF2-40B4-BE49-F238E27FC236}">
              <a16:creationId xmlns:a16="http://schemas.microsoft.com/office/drawing/2014/main" id="{00000000-0008-0000-0600-00001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eslie%20Hidde\Downloads\DT2221%20Rev3.0_UNLOCKED_DRAFT%20CHANGES_Mix%20Mod.xlsx" TargetMode="External"/><Relationship Id="rId1" Type="http://schemas.openxmlformats.org/officeDocument/2006/relationships/externalLinkPath" Target="DT2221%20Rev3.0_UNLOCKED_DRAFT%20CHANGES_Mix%20M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rections"/>
      <sheetName val="Printing Directions"/>
      <sheetName val="1 Certification"/>
      <sheetName val="1A Modification"/>
      <sheetName val="2 Aggregate System"/>
      <sheetName val="3 Paste Quality"/>
      <sheetName val="4 Mix Design"/>
      <sheetName val="5 Unit Wt_Voids in Agg"/>
      <sheetName val="Optimize Tool"/>
      <sheetName val="Data_Charts"/>
      <sheetName val="6 Agg Analysis"/>
      <sheetName val="7 Calculation Check"/>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Jackie Spoor" id="{FE8A0FAA-ECA0-48DA-99E8-0454A9B0CB6D}" userId="S-1-5-21-4141341110-2644520960-3791814248-1616" providerId="AD"/>
  <person displayName="Finnell, Mark W - DOT (DTSD Consultant)" id="{ACA51413-4343-43F5-AFE5-859958743E83}" userId="S::mark.finnell@dot.wi.gov::fc707ee4-04e6-424a-8fb6-f5ce4cfd5ed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5" dT="2019-04-19T12:34:20.61" personId="{FE8A0FAA-ECA0-48DA-99E8-0454A9B0CB6D}" id="{A9E2C766-CAB9-4CEF-B364-28A9D999E338}">
    <text>The amount needed for workability</text>
  </threadedComment>
  <threadedComment ref="G47" dT="2019-04-19T12:34:07.46" personId="{FE8A0FAA-ECA0-48DA-99E8-0454A9B0CB6D}" id="{0D1BA076-0590-472E-B243-A46D31BBB014}">
    <text>Amount needed for cohesion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D46" dT="2021-08-16T15:18:35.67" personId="{ACA51413-4343-43F5-AFE5-859958743E83}" id="{B501AFB0-96D3-4400-A3AA-A3CC07712981}">
    <text>For Barrier and Pavements: Max. w/cm = 0.42
For Structures and Ancillary: Max. w/cm = 0.45</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4" Type="http://schemas.microsoft.com/office/2017/10/relationships/threadedComment" Target="../threadedComments/threadedComment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omments" Target="../comments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30.xml"/><Relationship Id="rId21" Type="http://schemas.openxmlformats.org/officeDocument/2006/relationships/ctrlProp" Target="../ctrlProps/ctrlProp25.xml"/><Relationship Id="rId42" Type="http://schemas.openxmlformats.org/officeDocument/2006/relationships/ctrlProp" Target="../ctrlProps/ctrlProp46.xml"/><Relationship Id="rId47" Type="http://schemas.openxmlformats.org/officeDocument/2006/relationships/ctrlProp" Target="../ctrlProps/ctrlProp51.xml"/><Relationship Id="rId63" Type="http://schemas.openxmlformats.org/officeDocument/2006/relationships/ctrlProp" Target="../ctrlProps/ctrlProp67.xml"/><Relationship Id="rId68" Type="http://schemas.openxmlformats.org/officeDocument/2006/relationships/ctrlProp" Target="../ctrlProps/ctrlProp72.xml"/><Relationship Id="rId84" Type="http://schemas.openxmlformats.org/officeDocument/2006/relationships/ctrlProp" Target="../ctrlProps/ctrlProp88.xml"/><Relationship Id="rId89" Type="http://schemas.openxmlformats.org/officeDocument/2006/relationships/ctrlProp" Target="../ctrlProps/ctrlProp93.xml"/><Relationship Id="rId112" Type="http://schemas.openxmlformats.org/officeDocument/2006/relationships/ctrlProp" Target="../ctrlProps/ctrlProp116.xml"/><Relationship Id="rId16" Type="http://schemas.openxmlformats.org/officeDocument/2006/relationships/ctrlProp" Target="../ctrlProps/ctrlProp20.xml"/><Relationship Id="rId107" Type="http://schemas.openxmlformats.org/officeDocument/2006/relationships/ctrlProp" Target="../ctrlProps/ctrlProp111.xml"/><Relationship Id="rId11" Type="http://schemas.openxmlformats.org/officeDocument/2006/relationships/ctrlProp" Target="../ctrlProps/ctrlProp15.xml"/><Relationship Id="rId32" Type="http://schemas.openxmlformats.org/officeDocument/2006/relationships/ctrlProp" Target="../ctrlProps/ctrlProp36.xml"/><Relationship Id="rId37" Type="http://schemas.openxmlformats.org/officeDocument/2006/relationships/ctrlProp" Target="../ctrlProps/ctrlProp41.xml"/><Relationship Id="rId53" Type="http://schemas.openxmlformats.org/officeDocument/2006/relationships/ctrlProp" Target="../ctrlProps/ctrlProp57.xml"/><Relationship Id="rId58" Type="http://schemas.openxmlformats.org/officeDocument/2006/relationships/ctrlProp" Target="../ctrlProps/ctrlProp62.xml"/><Relationship Id="rId74" Type="http://schemas.openxmlformats.org/officeDocument/2006/relationships/ctrlProp" Target="../ctrlProps/ctrlProp78.xml"/><Relationship Id="rId79" Type="http://schemas.openxmlformats.org/officeDocument/2006/relationships/ctrlProp" Target="../ctrlProps/ctrlProp83.xml"/><Relationship Id="rId102" Type="http://schemas.openxmlformats.org/officeDocument/2006/relationships/ctrlProp" Target="../ctrlProps/ctrlProp106.xml"/><Relationship Id="rId5" Type="http://schemas.openxmlformats.org/officeDocument/2006/relationships/ctrlProp" Target="../ctrlProps/ctrlProp9.xml"/><Relationship Id="rId90" Type="http://schemas.openxmlformats.org/officeDocument/2006/relationships/ctrlProp" Target="../ctrlProps/ctrlProp94.xml"/><Relationship Id="rId95" Type="http://schemas.openxmlformats.org/officeDocument/2006/relationships/ctrlProp" Target="../ctrlProps/ctrlProp99.xml"/><Relationship Id="rId22" Type="http://schemas.openxmlformats.org/officeDocument/2006/relationships/ctrlProp" Target="../ctrlProps/ctrlProp26.xml"/><Relationship Id="rId27" Type="http://schemas.openxmlformats.org/officeDocument/2006/relationships/ctrlProp" Target="../ctrlProps/ctrlProp31.xml"/><Relationship Id="rId43" Type="http://schemas.openxmlformats.org/officeDocument/2006/relationships/ctrlProp" Target="../ctrlProps/ctrlProp47.xml"/><Relationship Id="rId48" Type="http://schemas.openxmlformats.org/officeDocument/2006/relationships/ctrlProp" Target="../ctrlProps/ctrlProp52.xml"/><Relationship Id="rId64" Type="http://schemas.openxmlformats.org/officeDocument/2006/relationships/ctrlProp" Target="../ctrlProps/ctrlProp68.xml"/><Relationship Id="rId69" Type="http://schemas.openxmlformats.org/officeDocument/2006/relationships/ctrlProp" Target="../ctrlProps/ctrlProp73.xml"/><Relationship Id="rId113" Type="http://schemas.openxmlformats.org/officeDocument/2006/relationships/ctrlProp" Target="../ctrlProps/ctrlProp117.xml"/><Relationship Id="rId80" Type="http://schemas.openxmlformats.org/officeDocument/2006/relationships/ctrlProp" Target="../ctrlProps/ctrlProp84.xml"/><Relationship Id="rId85" Type="http://schemas.openxmlformats.org/officeDocument/2006/relationships/ctrlProp" Target="../ctrlProps/ctrlProp89.xml"/><Relationship Id="rId12" Type="http://schemas.openxmlformats.org/officeDocument/2006/relationships/ctrlProp" Target="../ctrlProps/ctrlProp16.xml"/><Relationship Id="rId17" Type="http://schemas.openxmlformats.org/officeDocument/2006/relationships/ctrlProp" Target="../ctrlProps/ctrlProp21.xml"/><Relationship Id="rId33" Type="http://schemas.openxmlformats.org/officeDocument/2006/relationships/ctrlProp" Target="../ctrlProps/ctrlProp37.xml"/><Relationship Id="rId38" Type="http://schemas.openxmlformats.org/officeDocument/2006/relationships/ctrlProp" Target="../ctrlProps/ctrlProp42.xml"/><Relationship Id="rId59" Type="http://schemas.openxmlformats.org/officeDocument/2006/relationships/ctrlProp" Target="../ctrlProps/ctrlProp63.xml"/><Relationship Id="rId103" Type="http://schemas.openxmlformats.org/officeDocument/2006/relationships/ctrlProp" Target="../ctrlProps/ctrlProp107.xml"/><Relationship Id="rId108" Type="http://schemas.openxmlformats.org/officeDocument/2006/relationships/ctrlProp" Target="../ctrlProps/ctrlProp112.xml"/><Relationship Id="rId54" Type="http://schemas.openxmlformats.org/officeDocument/2006/relationships/ctrlProp" Target="../ctrlProps/ctrlProp58.xml"/><Relationship Id="rId70" Type="http://schemas.openxmlformats.org/officeDocument/2006/relationships/ctrlProp" Target="../ctrlProps/ctrlProp74.xml"/><Relationship Id="rId75" Type="http://schemas.openxmlformats.org/officeDocument/2006/relationships/ctrlProp" Target="../ctrlProps/ctrlProp79.xml"/><Relationship Id="rId91" Type="http://schemas.openxmlformats.org/officeDocument/2006/relationships/ctrlProp" Target="../ctrlProps/ctrlProp95.xml"/><Relationship Id="rId96" Type="http://schemas.openxmlformats.org/officeDocument/2006/relationships/ctrlProp" Target="../ctrlProps/ctrlProp100.xml"/><Relationship Id="rId1" Type="http://schemas.openxmlformats.org/officeDocument/2006/relationships/printerSettings" Target="../printerSettings/printerSettings4.bin"/><Relationship Id="rId6" Type="http://schemas.openxmlformats.org/officeDocument/2006/relationships/ctrlProp" Target="../ctrlProps/ctrlProp10.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49" Type="http://schemas.openxmlformats.org/officeDocument/2006/relationships/ctrlProp" Target="../ctrlProps/ctrlProp53.xml"/><Relationship Id="rId57" Type="http://schemas.openxmlformats.org/officeDocument/2006/relationships/ctrlProp" Target="../ctrlProps/ctrlProp61.xml"/><Relationship Id="rId106" Type="http://schemas.openxmlformats.org/officeDocument/2006/relationships/ctrlProp" Target="../ctrlProps/ctrlProp110.xml"/><Relationship Id="rId10" Type="http://schemas.openxmlformats.org/officeDocument/2006/relationships/ctrlProp" Target="../ctrlProps/ctrlProp14.xml"/><Relationship Id="rId31" Type="http://schemas.openxmlformats.org/officeDocument/2006/relationships/ctrlProp" Target="../ctrlProps/ctrlProp35.xml"/><Relationship Id="rId44" Type="http://schemas.openxmlformats.org/officeDocument/2006/relationships/ctrlProp" Target="../ctrlProps/ctrlProp48.xml"/><Relationship Id="rId52" Type="http://schemas.openxmlformats.org/officeDocument/2006/relationships/ctrlProp" Target="../ctrlProps/ctrlProp56.xml"/><Relationship Id="rId60" Type="http://schemas.openxmlformats.org/officeDocument/2006/relationships/ctrlProp" Target="../ctrlProps/ctrlProp64.xml"/><Relationship Id="rId65" Type="http://schemas.openxmlformats.org/officeDocument/2006/relationships/ctrlProp" Target="../ctrlProps/ctrlProp69.xml"/><Relationship Id="rId73" Type="http://schemas.openxmlformats.org/officeDocument/2006/relationships/ctrlProp" Target="../ctrlProps/ctrlProp77.xml"/><Relationship Id="rId78" Type="http://schemas.openxmlformats.org/officeDocument/2006/relationships/ctrlProp" Target="../ctrlProps/ctrlProp82.xml"/><Relationship Id="rId81" Type="http://schemas.openxmlformats.org/officeDocument/2006/relationships/ctrlProp" Target="../ctrlProps/ctrlProp85.xml"/><Relationship Id="rId86" Type="http://schemas.openxmlformats.org/officeDocument/2006/relationships/ctrlProp" Target="../ctrlProps/ctrlProp90.xml"/><Relationship Id="rId94" Type="http://schemas.openxmlformats.org/officeDocument/2006/relationships/ctrlProp" Target="../ctrlProps/ctrlProp98.xml"/><Relationship Id="rId99" Type="http://schemas.openxmlformats.org/officeDocument/2006/relationships/ctrlProp" Target="../ctrlProps/ctrlProp103.xml"/><Relationship Id="rId101" Type="http://schemas.openxmlformats.org/officeDocument/2006/relationships/ctrlProp" Target="../ctrlProps/ctrlProp105.xml"/><Relationship Id="rId4" Type="http://schemas.openxmlformats.org/officeDocument/2006/relationships/ctrlProp" Target="../ctrlProps/ctrlProp8.xml"/><Relationship Id="rId9" Type="http://schemas.openxmlformats.org/officeDocument/2006/relationships/ctrlProp" Target="../ctrlProps/ctrlProp13.xml"/><Relationship Id="rId13" Type="http://schemas.openxmlformats.org/officeDocument/2006/relationships/ctrlProp" Target="../ctrlProps/ctrlProp17.xml"/><Relationship Id="rId18" Type="http://schemas.openxmlformats.org/officeDocument/2006/relationships/ctrlProp" Target="../ctrlProps/ctrlProp22.xml"/><Relationship Id="rId39" Type="http://schemas.openxmlformats.org/officeDocument/2006/relationships/ctrlProp" Target="../ctrlProps/ctrlProp43.xml"/><Relationship Id="rId109" Type="http://schemas.openxmlformats.org/officeDocument/2006/relationships/ctrlProp" Target="../ctrlProps/ctrlProp113.xml"/><Relationship Id="rId34" Type="http://schemas.openxmlformats.org/officeDocument/2006/relationships/ctrlProp" Target="../ctrlProps/ctrlProp38.xml"/><Relationship Id="rId50" Type="http://schemas.openxmlformats.org/officeDocument/2006/relationships/ctrlProp" Target="../ctrlProps/ctrlProp54.xml"/><Relationship Id="rId55" Type="http://schemas.openxmlformats.org/officeDocument/2006/relationships/ctrlProp" Target="../ctrlProps/ctrlProp59.xml"/><Relationship Id="rId76" Type="http://schemas.openxmlformats.org/officeDocument/2006/relationships/ctrlProp" Target="../ctrlProps/ctrlProp80.xml"/><Relationship Id="rId97" Type="http://schemas.openxmlformats.org/officeDocument/2006/relationships/ctrlProp" Target="../ctrlProps/ctrlProp101.xml"/><Relationship Id="rId104" Type="http://schemas.openxmlformats.org/officeDocument/2006/relationships/ctrlProp" Target="../ctrlProps/ctrlProp108.xml"/><Relationship Id="rId7" Type="http://schemas.openxmlformats.org/officeDocument/2006/relationships/ctrlProp" Target="../ctrlProps/ctrlProp11.xml"/><Relationship Id="rId71" Type="http://schemas.openxmlformats.org/officeDocument/2006/relationships/ctrlProp" Target="../ctrlProps/ctrlProp75.xml"/><Relationship Id="rId92" Type="http://schemas.openxmlformats.org/officeDocument/2006/relationships/ctrlProp" Target="../ctrlProps/ctrlProp96.xml"/><Relationship Id="rId2" Type="http://schemas.openxmlformats.org/officeDocument/2006/relationships/drawing" Target="../drawings/drawing5.xml"/><Relationship Id="rId29" Type="http://schemas.openxmlformats.org/officeDocument/2006/relationships/ctrlProp" Target="../ctrlProps/ctrlProp33.xml"/><Relationship Id="rId24" Type="http://schemas.openxmlformats.org/officeDocument/2006/relationships/ctrlProp" Target="../ctrlProps/ctrlProp28.xml"/><Relationship Id="rId40" Type="http://schemas.openxmlformats.org/officeDocument/2006/relationships/ctrlProp" Target="../ctrlProps/ctrlProp44.xml"/><Relationship Id="rId45" Type="http://schemas.openxmlformats.org/officeDocument/2006/relationships/ctrlProp" Target="../ctrlProps/ctrlProp49.xml"/><Relationship Id="rId66" Type="http://schemas.openxmlformats.org/officeDocument/2006/relationships/ctrlProp" Target="../ctrlProps/ctrlProp70.xml"/><Relationship Id="rId87" Type="http://schemas.openxmlformats.org/officeDocument/2006/relationships/ctrlProp" Target="../ctrlProps/ctrlProp91.xml"/><Relationship Id="rId110" Type="http://schemas.openxmlformats.org/officeDocument/2006/relationships/ctrlProp" Target="../ctrlProps/ctrlProp114.xml"/><Relationship Id="rId61" Type="http://schemas.openxmlformats.org/officeDocument/2006/relationships/ctrlProp" Target="../ctrlProps/ctrlProp65.xml"/><Relationship Id="rId82" Type="http://schemas.openxmlformats.org/officeDocument/2006/relationships/ctrlProp" Target="../ctrlProps/ctrlProp86.xml"/><Relationship Id="rId19" Type="http://schemas.openxmlformats.org/officeDocument/2006/relationships/ctrlProp" Target="../ctrlProps/ctrlProp23.xml"/><Relationship Id="rId14" Type="http://schemas.openxmlformats.org/officeDocument/2006/relationships/ctrlProp" Target="../ctrlProps/ctrlProp18.xml"/><Relationship Id="rId30" Type="http://schemas.openxmlformats.org/officeDocument/2006/relationships/ctrlProp" Target="../ctrlProps/ctrlProp34.xml"/><Relationship Id="rId35" Type="http://schemas.openxmlformats.org/officeDocument/2006/relationships/ctrlProp" Target="../ctrlProps/ctrlProp39.xml"/><Relationship Id="rId56" Type="http://schemas.openxmlformats.org/officeDocument/2006/relationships/ctrlProp" Target="../ctrlProps/ctrlProp60.xml"/><Relationship Id="rId77" Type="http://schemas.openxmlformats.org/officeDocument/2006/relationships/ctrlProp" Target="../ctrlProps/ctrlProp81.xml"/><Relationship Id="rId100" Type="http://schemas.openxmlformats.org/officeDocument/2006/relationships/ctrlProp" Target="../ctrlProps/ctrlProp104.xml"/><Relationship Id="rId105" Type="http://schemas.openxmlformats.org/officeDocument/2006/relationships/ctrlProp" Target="../ctrlProps/ctrlProp109.xml"/><Relationship Id="rId8" Type="http://schemas.openxmlformats.org/officeDocument/2006/relationships/ctrlProp" Target="../ctrlProps/ctrlProp12.xml"/><Relationship Id="rId51" Type="http://schemas.openxmlformats.org/officeDocument/2006/relationships/ctrlProp" Target="../ctrlProps/ctrlProp55.xml"/><Relationship Id="rId72" Type="http://schemas.openxmlformats.org/officeDocument/2006/relationships/ctrlProp" Target="../ctrlProps/ctrlProp76.xml"/><Relationship Id="rId93" Type="http://schemas.openxmlformats.org/officeDocument/2006/relationships/ctrlProp" Target="../ctrlProps/ctrlProp97.xml"/><Relationship Id="rId98" Type="http://schemas.openxmlformats.org/officeDocument/2006/relationships/ctrlProp" Target="../ctrlProps/ctrlProp102.xml"/><Relationship Id="rId3" Type="http://schemas.openxmlformats.org/officeDocument/2006/relationships/vmlDrawing" Target="../drawings/vmlDrawing4.vml"/><Relationship Id="rId25" Type="http://schemas.openxmlformats.org/officeDocument/2006/relationships/ctrlProp" Target="../ctrlProps/ctrlProp29.xml"/><Relationship Id="rId46" Type="http://schemas.openxmlformats.org/officeDocument/2006/relationships/ctrlProp" Target="../ctrlProps/ctrlProp50.xml"/><Relationship Id="rId67" Type="http://schemas.openxmlformats.org/officeDocument/2006/relationships/ctrlProp" Target="../ctrlProps/ctrlProp71.xml"/><Relationship Id="rId20" Type="http://schemas.openxmlformats.org/officeDocument/2006/relationships/ctrlProp" Target="../ctrlProps/ctrlProp24.xml"/><Relationship Id="rId41" Type="http://schemas.openxmlformats.org/officeDocument/2006/relationships/ctrlProp" Target="../ctrlProps/ctrlProp45.xml"/><Relationship Id="rId62" Type="http://schemas.openxmlformats.org/officeDocument/2006/relationships/ctrlProp" Target="../ctrlProps/ctrlProp66.xml"/><Relationship Id="rId83" Type="http://schemas.openxmlformats.org/officeDocument/2006/relationships/ctrlProp" Target="../ctrlProps/ctrlProp87.xml"/><Relationship Id="rId88" Type="http://schemas.openxmlformats.org/officeDocument/2006/relationships/ctrlProp" Target="../ctrlProps/ctrlProp92.xml"/><Relationship Id="rId111" Type="http://schemas.openxmlformats.org/officeDocument/2006/relationships/ctrlProp" Target="../ctrlProps/ctrlProp11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3EDDB-9725-4249-BB02-69028F569544}">
  <dimension ref="A1:P133"/>
  <sheetViews>
    <sheetView showGridLines="0" zoomScaleNormal="100" zoomScaleSheetLayoutView="100" workbookViewId="0">
      <selection sqref="A1:H1"/>
    </sheetView>
  </sheetViews>
  <sheetFormatPr defaultRowHeight="14.4" x14ac:dyDescent="0.3"/>
  <cols>
    <col min="1" max="1" width="3.44140625" customWidth="1"/>
  </cols>
  <sheetData>
    <row r="1" spans="1:16" ht="16.2" thickBot="1" x14ac:dyDescent="0.35">
      <c r="A1" s="1309" t="s">
        <v>386</v>
      </c>
      <c r="B1" s="1310"/>
      <c r="C1" s="1310"/>
      <c r="D1" s="1310"/>
      <c r="E1" s="1310"/>
      <c r="F1" s="1310"/>
      <c r="G1" s="1310"/>
      <c r="H1" s="1310"/>
      <c r="I1" s="833" t="s">
        <v>387</v>
      </c>
      <c r="J1" s="833"/>
      <c r="K1" s="833"/>
      <c r="L1" s="834"/>
    </row>
    <row r="2" spans="1:16" x14ac:dyDescent="0.3">
      <c r="A2" s="835" t="s">
        <v>553</v>
      </c>
      <c r="B2" s="835"/>
      <c r="C2" s="835"/>
      <c r="D2" s="835"/>
      <c r="E2" s="835"/>
      <c r="F2" s="835"/>
      <c r="G2" s="835"/>
      <c r="H2" s="835"/>
      <c r="I2" s="835"/>
      <c r="J2" s="835"/>
      <c r="K2" s="835"/>
      <c r="L2" s="835"/>
    </row>
    <row r="3" spans="1:16" ht="16.2" thickBot="1" x14ac:dyDescent="0.35">
      <c r="A3" s="545"/>
      <c r="B3" s="545"/>
      <c r="C3" s="545"/>
      <c r="D3" s="545"/>
      <c r="E3" s="545"/>
      <c r="F3" s="545"/>
      <c r="G3" s="545"/>
      <c r="H3" s="545"/>
      <c r="I3" s="545"/>
      <c r="J3" s="545"/>
      <c r="K3" s="545"/>
      <c r="L3" s="545"/>
    </row>
    <row r="4" spans="1:16" ht="15" thickBot="1" x14ac:dyDescent="0.35">
      <c r="A4" s="836" t="s">
        <v>3</v>
      </c>
      <c r="B4" s="837"/>
      <c r="C4" s="837"/>
      <c r="D4" s="837"/>
      <c r="E4" s="837"/>
      <c r="F4" s="837"/>
      <c r="G4" s="837"/>
      <c r="H4" s="837"/>
      <c r="I4" s="837"/>
      <c r="J4" s="837"/>
      <c r="K4" s="837"/>
      <c r="L4" s="838"/>
    </row>
    <row r="5" spans="1:16" x14ac:dyDescent="0.3">
      <c r="A5" s="546" t="s">
        <v>4</v>
      </c>
      <c r="B5" s="839" t="s">
        <v>5</v>
      </c>
      <c r="C5" s="839"/>
      <c r="D5" s="839"/>
      <c r="E5" s="839"/>
      <c r="F5" s="839"/>
      <c r="G5" s="839"/>
      <c r="H5" s="839"/>
      <c r="I5" s="839"/>
      <c r="J5" s="839"/>
      <c r="K5" s="839"/>
      <c r="L5" s="840"/>
    </row>
    <row r="6" spans="1:16" x14ac:dyDescent="0.3">
      <c r="A6" s="547" t="s">
        <v>6</v>
      </c>
      <c r="B6" s="823" t="s">
        <v>7</v>
      </c>
      <c r="C6" s="823"/>
      <c r="D6" s="823"/>
      <c r="E6" s="823"/>
      <c r="F6" s="823"/>
      <c r="G6" s="823"/>
      <c r="H6" s="823"/>
      <c r="I6" s="823"/>
      <c r="J6" s="823"/>
      <c r="K6" s="823"/>
      <c r="L6" s="824"/>
    </row>
    <row r="7" spans="1:16" x14ac:dyDescent="0.3">
      <c r="A7" s="548" t="s">
        <v>8</v>
      </c>
      <c r="B7" s="825" t="s">
        <v>9</v>
      </c>
      <c r="C7" s="825"/>
      <c r="D7" s="825"/>
      <c r="E7" s="825"/>
      <c r="F7" s="825"/>
      <c r="G7" s="825"/>
      <c r="H7" s="825"/>
      <c r="I7" s="825"/>
      <c r="J7" s="825"/>
      <c r="K7" s="825"/>
      <c r="L7" s="826"/>
    </row>
    <row r="8" spans="1:16" x14ac:dyDescent="0.3">
      <c r="A8" s="549" t="s">
        <v>10</v>
      </c>
      <c r="B8" s="827" t="s">
        <v>11</v>
      </c>
      <c r="C8" s="827"/>
      <c r="D8" s="827"/>
      <c r="E8" s="827"/>
      <c r="F8" s="827"/>
      <c r="G8" s="827"/>
      <c r="H8" s="827"/>
      <c r="I8" s="827"/>
      <c r="J8" s="827"/>
      <c r="K8" s="827"/>
      <c r="L8" s="828"/>
    </row>
    <row r="9" spans="1:16" ht="21" customHeight="1" thickBot="1" x14ac:dyDescent="0.4">
      <c r="A9" s="550" t="s">
        <v>12</v>
      </c>
      <c r="B9" s="829" t="s">
        <v>13</v>
      </c>
      <c r="C9" s="829"/>
      <c r="D9" s="829"/>
      <c r="E9" s="829"/>
      <c r="F9" s="829"/>
      <c r="G9" s="829"/>
      <c r="H9" s="829"/>
      <c r="I9" s="829"/>
      <c r="J9" s="829"/>
      <c r="K9" s="829"/>
      <c r="L9" s="830"/>
      <c r="N9" s="841" t="s">
        <v>522</v>
      </c>
      <c r="O9" s="841"/>
    </row>
    <row r="10" spans="1:16" ht="18.600000000000001" thickBot="1" x14ac:dyDescent="0.35">
      <c r="A10" s="551"/>
      <c r="N10" s="707"/>
      <c r="O10" s="707"/>
      <c r="P10" s="707"/>
    </row>
    <row r="11" spans="1:16" ht="15" thickBot="1" x14ac:dyDescent="0.35">
      <c r="A11" s="836" t="s">
        <v>170</v>
      </c>
      <c r="B11" s="837"/>
      <c r="C11" s="837"/>
      <c r="D11" s="837"/>
      <c r="E11" s="837"/>
      <c r="F11" s="837"/>
      <c r="G11" s="837"/>
      <c r="H11" s="837"/>
      <c r="I11" s="837"/>
      <c r="J11" s="837"/>
      <c r="K11" s="837"/>
      <c r="L11" s="837"/>
      <c r="M11" s="837"/>
      <c r="N11" s="837"/>
      <c r="O11" s="837"/>
      <c r="P11" s="838"/>
    </row>
    <row r="12" spans="1:16" x14ac:dyDescent="0.3">
      <c r="A12" s="860" t="s">
        <v>171</v>
      </c>
      <c r="B12" s="861"/>
    </row>
    <row r="13" spans="1:16" x14ac:dyDescent="0.3">
      <c r="A13" s="552"/>
      <c r="B13" s="709" t="s">
        <v>397</v>
      </c>
      <c r="C13" s="713"/>
      <c r="D13" s="713"/>
      <c r="E13" s="713"/>
      <c r="F13" s="713"/>
      <c r="G13" s="713"/>
      <c r="H13" s="713"/>
      <c r="I13" s="713"/>
      <c r="J13" s="713"/>
    </row>
    <row r="14" spans="1:16" x14ac:dyDescent="0.3">
      <c r="A14" s="552"/>
      <c r="B14" s="709" t="s">
        <v>557</v>
      </c>
      <c r="C14" s="713"/>
      <c r="D14" s="713"/>
      <c r="E14" s="713"/>
      <c r="F14" s="713"/>
      <c r="G14" s="713"/>
      <c r="H14" s="713"/>
      <c r="I14" s="713"/>
      <c r="J14" s="713"/>
    </row>
    <row r="15" spans="1:16" x14ac:dyDescent="0.3">
      <c r="A15" s="552"/>
      <c r="B15" s="714" t="s">
        <v>398</v>
      </c>
      <c r="C15" s="566"/>
      <c r="D15" s="566"/>
      <c r="E15" s="566"/>
      <c r="F15" s="566"/>
      <c r="G15" s="566"/>
      <c r="H15" s="566"/>
      <c r="I15" s="566"/>
      <c r="J15" s="566"/>
    </row>
    <row r="16" spans="1:16" x14ac:dyDescent="0.3">
      <c r="A16" s="552"/>
      <c r="B16" s="714" t="s">
        <v>400</v>
      </c>
      <c r="C16" s="566"/>
      <c r="D16" s="566"/>
      <c r="E16" s="566"/>
      <c r="F16" s="566"/>
      <c r="G16" s="566"/>
      <c r="H16" s="566"/>
      <c r="I16" s="566"/>
      <c r="J16" s="566"/>
    </row>
    <row r="17" spans="1:16" ht="15" thickBot="1" x14ac:dyDescent="0.35">
      <c r="A17" s="552"/>
      <c r="B17" s="714" t="s">
        <v>401</v>
      </c>
      <c r="C17" s="566"/>
      <c r="D17" s="566"/>
      <c r="E17" s="566"/>
      <c r="F17" s="566"/>
      <c r="G17" s="566"/>
      <c r="H17" s="566"/>
      <c r="I17" s="566"/>
      <c r="J17" s="566"/>
    </row>
    <row r="18" spans="1:16" ht="15" thickBot="1" x14ac:dyDescent="0.35">
      <c r="B18" s="554" t="s">
        <v>371</v>
      </c>
      <c r="C18" s="555"/>
      <c r="D18" s="555"/>
      <c r="E18" s="555"/>
      <c r="F18" s="555"/>
      <c r="G18" s="555"/>
      <c r="H18" s="555"/>
      <c r="I18" s="556"/>
    </row>
    <row r="19" spans="1:16" ht="15" thickBot="1" x14ac:dyDescent="0.35">
      <c r="B19" s="557" t="s">
        <v>0</v>
      </c>
      <c r="C19" s="558"/>
      <c r="D19" s="559"/>
      <c r="E19" s="127"/>
      <c r="F19" s="127"/>
      <c r="G19" s="127"/>
      <c r="H19" s="127"/>
    </row>
    <row r="20" spans="1:16" ht="15" thickBot="1" x14ac:dyDescent="0.35">
      <c r="B20" s="845" t="s">
        <v>451</v>
      </c>
      <c r="C20" s="846"/>
      <c r="D20" s="847"/>
      <c r="E20" s="127"/>
      <c r="F20" s="127"/>
      <c r="G20" s="127"/>
      <c r="H20" s="127"/>
    </row>
    <row r="21" spans="1:16" ht="15" thickBot="1" x14ac:dyDescent="0.35">
      <c r="B21" s="848" t="s">
        <v>451</v>
      </c>
      <c r="C21" s="849"/>
      <c r="D21" s="850"/>
      <c r="E21" s="127"/>
      <c r="F21" s="127"/>
      <c r="G21" s="127"/>
      <c r="H21" s="127"/>
    </row>
    <row r="22" spans="1:16" ht="15" thickBot="1" x14ac:dyDescent="0.35">
      <c r="B22" s="708"/>
      <c r="C22" s="708"/>
      <c r="D22" s="708"/>
      <c r="E22" s="127"/>
      <c r="F22" s="127"/>
      <c r="G22" s="127"/>
      <c r="H22" s="127"/>
    </row>
    <row r="23" spans="1:16" ht="15" thickBot="1" x14ac:dyDescent="0.35">
      <c r="A23" s="851" t="s">
        <v>523</v>
      </c>
      <c r="B23" s="852"/>
      <c r="C23" s="852"/>
      <c r="D23" s="852"/>
      <c r="E23" s="852"/>
      <c r="F23" s="852"/>
      <c r="G23" s="852"/>
      <c r="H23" s="852"/>
      <c r="I23" s="852"/>
      <c r="J23" s="852"/>
      <c r="K23" s="852"/>
      <c r="L23" s="852"/>
      <c r="M23" s="852"/>
      <c r="N23" s="852"/>
      <c r="O23" s="852"/>
      <c r="P23" s="853"/>
    </row>
    <row r="24" spans="1:16" ht="15" thickBot="1" x14ac:dyDescent="0.35">
      <c r="A24" s="842" t="s">
        <v>368</v>
      </c>
      <c r="B24" s="843"/>
      <c r="C24" s="843"/>
      <c r="D24" s="843"/>
      <c r="E24" s="843"/>
      <c r="F24" s="843"/>
      <c r="G24" s="843"/>
      <c r="H24" s="843"/>
      <c r="I24" s="843"/>
      <c r="J24" s="843"/>
      <c r="K24" s="843"/>
      <c r="L24" s="843"/>
      <c r="M24" s="843"/>
      <c r="N24" s="843"/>
      <c r="O24" s="843"/>
      <c r="P24" s="844"/>
    </row>
    <row r="25" spans="1:16" x14ac:dyDescent="0.3">
      <c r="B25" t="s">
        <v>452</v>
      </c>
      <c r="I25" s="127"/>
      <c r="M25" s="710"/>
      <c r="N25" s="561"/>
      <c r="O25" s="561"/>
      <c r="P25" s="561"/>
    </row>
    <row r="26" spans="1:16" x14ac:dyDescent="0.3">
      <c r="B26" t="s">
        <v>453</v>
      </c>
      <c r="I26" s="127"/>
      <c r="M26" s="710"/>
      <c r="N26" s="561"/>
      <c r="O26" s="561"/>
      <c r="P26" s="561"/>
    </row>
    <row r="27" spans="1:16" x14ac:dyDescent="0.3">
      <c r="B27" t="s">
        <v>454</v>
      </c>
      <c r="C27" s="127"/>
      <c r="D27" s="127"/>
      <c r="E27" s="127"/>
      <c r="F27" s="127"/>
      <c r="G27" s="127"/>
      <c r="H27" s="127"/>
      <c r="M27" s="710"/>
      <c r="N27" s="561"/>
      <c r="O27" s="561"/>
      <c r="P27" s="561"/>
    </row>
    <row r="28" spans="1:16" x14ac:dyDescent="0.3">
      <c r="B28" t="s">
        <v>455</v>
      </c>
      <c r="C28" s="127"/>
      <c r="D28" s="127"/>
      <c r="E28" s="127"/>
      <c r="F28" s="127"/>
      <c r="G28" s="127"/>
      <c r="H28" s="127"/>
      <c r="M28" s="710"/>
      <c r="N28" s="561"/>
      <c r="O28" s="561"/>
      <c r="P28" s="561"/>
    </row>
    <row r="29" spans="1:16" x14ac:dyDescent="0.3">
      <c r="B29" t="s">
        <v>527</v>
      </c>
      <c r="C29" s="127"/>
      <c r="D29" s="127"/>
      <c r="E29" s="127"/>
      <c r="F29" s="127"/>
      <c r="G29" s="127"/>
      <c r="H29" s="127"/>
      <c r="M29" s="710"/>
      <c r="N29" s="561"/>
      <c r="O29" s="561"/>
      <c r="P29" s="561"/>
    </row>
    <row r="30" spans="1:16" x14ac:dyDescent="0.3">
      <c r="B30" t="s">
        <v>528</v>
      </c>
      <c r="C30" s="127"/>
      <c r="D30" s="127"/>
      <c r="E30" s="127"/>
      <c r="F30" s="127"/>
      <c r="G30" s="127"/>
      <c r="H30" s="127"/>
      <c r="M30" s="710"/>
      <c r="N30" s="561"/>
      <c r="O30" s="561"/>
      <c r="P30" s="561"/>
    </row>
    <row r="31" spans="1:16" x14ac:dyDescent="0.3">
      <c r="B31" s="711" t="s">
        <v>456</v>
      </c>
      <c r="C31" s="127"/>
      <c r="D31" s="127"/>
      <c r="E31" s="127"/>
      <c r="F31" s="127"/>
      <c r="G31" s="127"/>
      <c r="H31" s="127"/>
      <c r="M31" s="710"/>
      <c r="N31" s="561"/>
      <c r="O31" s="561"/>
      <c r="P31" s="561"/>
    </row>
    <row r="32" spans="1:16" x14ac:dyDescent="0.3">
      <c r="B32" s="562" t="s">
        <v>372</v>
      </c>
      <c r="C32" s="562"/>
      <c r="D32" s="127"/>
      <c r="E32" s="127"/>
      <c r="F32" s="127"/>
      <c r="G32" s="127"/>
      <c r="H32" s="127"/>
      <c r="M32" s="710"/>
      <c r="N32" s="561"/>
      <c r="O32" s="561"/>
      <c r="P32" s="561"/>
    </row>
    <row r="33" spans="1:16" x14ac:dyDescent="0.3">
      <c r="B33" s="562" t="s">
        <v>555</v>
      </c>
      <c r="C33" s="562"/>
      <c r="D33" s="127"/>
      <c r="E33" s="127"/>
      <c r="F33" s="127"/>
      <c r="G33" s="127"/>
      <c r="H33" s="127"/>
      <c r="M33" s="710"/>
      <c r="N33" s="561"/>
      <c r="O33" s="561"/>
      <c r="P33" s="561"/>
    </row>
    <row r="34" spans="1:16" x14ac:dyDescent="0.3">
      <c r="B34" s="562" t="s">
        <v>524</v>
      </c>
      <c r="C34" s="562"/>
      <c r="D34" s="127"/>
      <c r="E34" s="127"/>
      <c r="F34" s="127"/>
      <c r="G34" s="127"/>
      <c r="H34" s="127"/>
      <c r="M34" s="710"/>
      <c r="N34" s="561"/>
      <c r="O34" s="561"/>
      <c r="P34" s="561"/>
    </row>
    <row r="35" spans="1:16" x14ac:dyDescent="0.3">
      <c r="B35" s="562" t="s">
        <v>547</v>
      </c>
      <c r="C35" s="562"/>
      <c r="D35" s="127"/>
      <c r="E35" s="127"/>
      <c r="F35" s="127"/>
      <c r="G35" s="127"/>
      <c r="H35" s="127"/>
      <c r="M35" s="710"/>
      <c r="N35" s="561"/>
      <c r="O35" s="561"/>
      <c r="P35" s="561"/>
    </row>
    <row r="36" spans="1:16" x14ac:dyDescent="0.3">
      <c r="C36" s="709" t="s">
        <v>391</v>
      </c>
      <c r="D36" s="127"/>
      <c r="E36" s="127"/>
      <c r="F36" s="127"/>
      <c r="G36" s="127"/>
      <c r="H36" s="127"/>
      <c r="M36" s="710"/>
      <c r="N36" s="561"/>
      <c r="O36" s="561"/>
      <c r="P36" s="561"/>
    </row>
    <row r="37" spans="1:16" x14ac:dyDescent="0.3">
      <c r="C37" s="709" t="s">
        <v>392</v>
      </c>
      <c r="D37" s="127"/>
      <c r="E37" s="127"/>
      <c r="F37" s="127"/>
      <c r="G37" s="127"/>
      <c r="H37" s="127"/>
      <c r="M37" s="710"/>
      <c r="N37" s="561"/>
      <c r="O37" s="561"/>
      <c r="P37" s="561"/>
    </row>
    <row r="38" spans="1:16" ht="15" thickBot="1" x14ac:dyDescent="0.35">
      <c r="C38" s="566"/>
      <c r="D38" s="127"/>
      <c r="E38" s="127"/>
      <c r="F38" s="127"/>
      <c r="G38" s="127"/>
      <c r="H38" s="127"/>
      <c r="M38" s="710"/>
      <c r="N38" s="561"/>
      <c r="O38" s="561"/>
      <c r="P38" s="561"/>
    </row>
    <row r="39" spans="1:16" ht="15" thickBot="1" x14ac:dyDescent="0.35">
      <c r="A39" s="854" t="s">
        <v>366</v>
      </c>
      <c r="B39" s="855"/>
      <c r="C39" s="855"/>
      <c r="D39" s="855"/>
      <c r="E39" s="855"/>
      <c r="F39" s="855"/>
      <c r="G39" s="855"/>
      <c r="H39" s="855"/>
      <c r="I39" s="855"/>
      <c r="J39" s="855"/>
      <c r="K39" s="855"/>
      <c r="L39" s="855"/>
      <c r="M39" s="855"/>
      <c r="N39" s="855"/>
      <c r="O39" s="855"/>
      <c r="P39" s="856"/>
    </row>
    <row r="40" spans="1:16" x14ac:dyDescent="0.3">
      <c r="B40" s="563" t="s">
        <v>459</v>
      </c>
      <c r="C40" s="563"/>
      <c r="D40" s="563"/>
      <c r="E40" s="563"/>
      <c r="F40" s="563"/>
      <c r="G40" s="563"/>
      <c r="H40" s="563"/>
      <c r="I40" s="563"/>
    </row>
    <row r="41" spans="1:16" x14ac:dyDescent="0.3">
      <c r="B41" s="563" t="s">
        <v>460</v>
      </c>
      <c r="C41" s="563"/>
      <c r="D41" s="563"/>
      <c r="E41" s="563"/>
      <c r="F41" s="563"/>
      <c r="G41" s="563"/>
      <c r="H41" s="563"/>
      <c r="I41" s="563"/>
    </row>
    <row r="42" spans="1:16" x14ac:dyDescent="0.3">
      <c r="B42" s="563" t="s">
        <v>461</v>
      </c>
      <c r="C42" s="563"/>
      <c r="D42" s="563"/>
      <c r="E42" s="563"/>
      <c r="F42" s="563"/>
      <c r="G42" s="563"/>
      <c r="H42" s="563"/>
      <c r="I42" s="563"/>
    </row>
    <row r="43" spans="1:16" ht="15" thickBot="1" x14ac:dyDescent="0.35">
      <c r="B43" s="563"/>
      <c r="C43" s="563"/>
      <c r="D43" s="563"/>
      <c r="E43" s="563"/>
      <c r="F43" s="563"/>
      <c r="G43" s="563"/>
      <c r="H43" s="563"/>
      <c r="I43" s="563"/>
    </row>
    <row r="44" spans="1:16" ht="15" thickBot="1" x14ac:dyDescent="0.35">
      <c r="A44" s="854" t="s">
        <v>367</v>
      </c>
      <c r="B44" s="855"/>
      <c r="C44" s="855"/>
      <c r="D44" s="855"/>
      <c r="E44" s="855"/>
      <c r="F44" s="855"/>
      <c r="G44" s="855"/>
      <c r="H44" s="855"/>
      <c r="I44" s="855"/>
      <c r="J44" s="855"/>
      <c r="K44" s="855"/>
      <c r="L44" s="855"/>
      <c r="M44" s="855"/>
      <c r="N44" s="855"/>
      <c r="O44" s="855"/>
      <c r="P44" s="856"/>
    </row>
    <row r="45" spans="1:16" x14ac:dyDescent="0.3">
      <c r="B45" s="563" t="s">
        <v>529</v>
      </c>
      <c r="C45" s="127"/>
      <c r="D45" s="127"/>
      <c r="E45" s="127"/>
      <c r="F45" s="127"/>
      <c r="G45" s="127"/>
      <c r="H45" s="127"/>
      <c r="I45" s="127"/>
      <c r="J45" s="127"/>
      <c r="K45" s="127"/>
      <c r="L45" s="127"/>
    </row>
    <row r="46" spans="1:16" x14ac:dyDescent="0.3">
      <c r="B46" s="563"/>
      <c r="C46" s="562" t="s">
        <v>530</v>
      </c>
      <c r="D46" s="562"/>
      <c r="E46" s="127"/>
      <c r="F46" s="127"/>
      <c r="G46" s="127"/>
      <c r="H46" s="127"/>
      <c r="I46" s="127"/>
      <c r="J46" s="127"/>
      <c r="K46" s="127"/>
      <c r="L46" s="127"/>
    </row>
    <row r="47" spans="1:16" x14ac:dyDescent="0.3">
      <c r="B47" s="563"/>
      <c r="C47" s="562" t="s">
        <v>525</v>
      </c>
      <c r="D47" s="562"/>
      <c r="E47" s="127"/>
      <c r="F47" s="127"/>
      <c r="G47" s="127"/>
      <c r="H47" s="127"/>
      <c r="I47" s="127"/>
      <c r="J47" s="127"/>
      <c r="K47" s="127"/>
      <c r="L47" s="127"/>
    </row>
    <row r="48" spans="1:16" x14ac:dyDescent="0.3">
      <c r="B48" s="563"/>
      <c r="C48" s="562" t="s">
        <v>526</v>
      </c>
      <c r="D48" s="562"/>
      <c r="E48" s="127"/>
      <c r="F48" s="127"/>
      <c r="G48" s="127"/>
      <c r="H48" s="127"/>
      <c r="I48" s="127"/>
      <c r="J48" s="127"/>
      <c r="K48" s="127"/>
      <c r="L48" s="127"/>
    </row>
    <row r="49" spans="1:12" x14ac:dyDescent="0.3">
      <c r="B49" s="563"/>
      <c r="C49" s="709" t="s">
        <v>393</v>
      </c>
      <c r="E49" s="127"/>
      <c r="F49" s="127"/>
      <c r="G49" s="127"/>
      <c r="H49" s="127"/>
      <c r="I49" s="127"/>
      <c r="J49" s="127"/>
      <c r="K49" s="127"/>
      <c r="L49" s="127"/>
    </row>
    <row r="50" spans="1:12" x14ac:dyDescent="0.3">
      <c r="B50" s="563"/>
      <c r="C50" s="709" t="s">
        <v>394</v>
      </c>
      <c r="E50" s="127"/>
      <c r="F50" s="127"/>
      <c r="G50" s="127"/>
      <c r="H50" s="127"/>
      <c r="I50" s="127"/>
      <c r="J50" s="127"/>
      <c r="K50" s="127"/>
      <c r="L50" s="127"/>
    </row>
    <row r="51" spans="1:12" x14ac:dyDescent="0.3">
      <c r="B51" s="563" t="s">
        <v>462</v>
      </c>
      <c r="C51" s="127"/>
      <c r="D51" s="127"/>
      <c r="E51" s="127"/>
      <c r="F51" s="127"/>
      <c r="G51" s="127"/>
      <c r="H51" s="127"/>
      <c r="I51" s="127"/>
      <c r="J51" s="127"/>
      <c r="K51" s="127"/>
      <c r="L51" s="127"/>
    </row>
    <row r="52" spans="1:12" x14ac:dyDescent="0.3">
      <c r="B52" s="563" t="s">
        <v>531</v>
      </c>
      <c r="C52" s="127"/>
      <c r="D52" s="127"/>
      <c r="E52" s="127"/>
      <c r="F52" s="127"/>
      <c r="G52" s="127"/>
      <c r="H52" s="127"/>
      <c r="I52" s="127"/>
      <c r="J52" s="127"/>
      <c r="K52" s="127"/>
      <c r="L52" s="127"/>
    </row>
    <row r="53" spans="1:12" x14ac:dyDescent="0.3">
      <c r="B53" s="563" t="s">
        <v>532</v>
      </c>
      <c r="C53" s="127"/>
      <c r="D53" s="127"/>
      <c r="E53" s="127"/>
      <c r="F53" s="127"/>
      <c r="G53" s="127"/>
      <c r="H53" s="127"/>
      <c r="I53" s="127"/>
      <c r="J53" s="127"/>
      <c r="K53" s="127"/>
      <c r="L53" s="127"/>
    </row>
    <row r="54" spans="1:12" x14ac:dyDescent="0.3">
      <c r="B54" s="563" t="s">
        <v>463</v>
      </c>
      <c r="C54" s="563"/>
      <c r="D54" s="563"/>
      <c r="E54" s="563"/>
      <c r="F54" s="563"/>
      <c r="G54" s="563"/>
      <c r="H54" s="563"/>
      <c r="I54" s="563"/>
      <c r="J54" s="563"/>
      <c r="K54" s="563"/>
      <c r="L54" s="563"/>
    </row>
    <row r="55" spans="1:12" x14ac:dyDescent="0.3">
      <c r="B55" s="563" t="s">
        <v>533</v>
      </c>
      <c r="C55" s="560"/>
      <c r="D55" s="560"/>
      <c r="E55" s="560"/>
      <c r="F55" s="560"/>
      <c r="G55" s="560"/>
      <c r="H55" s="560"/>
      <c r="I55" s="560"/>
      <c r="J55" s="560"/>
      <c r="K55" s="560"/>
      <c r="L55" s="560"/>
    </row>
    <row r="56" spans="1:12" x14ac:dyDescent="0.3">
      <c r="C56" s="709" t="s">
        <v>534</v>
      </c>
      <c r="D56" s="560"/>
      <c r="E56" s="560"/>
      <c r="F56" s="560"/>
      <c r="G56" s="560"/>
      <c r="H56" s="560"/>
      <c r="I56" s="560"/>
      <c r="J56" s="560"/>
      <c r="K56" s="560"/>
      <c r="L56" s="560"/>
    </row>
    <row r="57" spans="1:12" x14ac:dyDescent="0.3">
      <c r="C57" s="709" t="s">
        <v>535</v>
      </c>
      <c r="D57" s="560"/>
      <c r="E57" s="560"/>
      <c r="F57" s="560"/>
      <c r="G57" s="560"/>
      <c r="H57" s="560"/>
      <c r="I57" s="560"/>
      <c r="J57" s="560"/>
      <c r="K57" s="560"/>
      <c r="L57" s="560"/>
    </row>
    <row r="58" spans="1:12" x14ac:dyDescent="0.3">
      <c r="B58" s="563" t="s">
        <v>465</v>
      </c>
      <c r="C58" s="127"/>
      <c r="D58" s="127"/>
      <c r="E58" s="127"/>
      <c r="F58" s="127"/>
      <c r="G58" s="127"/>
      <c r="H58" s="127"/>
      <c r="I58" s="560"/>
      <c r="J58" s="127"/>
      <c r="K58" s="127"/>
      <c r="L58" s="127"/>
    </row>
    <row r="59" spans="1:12" x14ac:dyDescent="0.3">
      <c r="B59" s="127" t="s">
        <v>464</v>
      </c>
      <c r="C59" s="127"/>
      <c r="D59" s="127"/>
      <c r="E59" s="127"/>
      <c r="F59" s="127"/>
      <c r="G59" s="127"/>
      <c r="H59" s="127"/>
      <c r="I59" s="565"/>
      <c r="J59" s="560"/>
      <c r="K59" s="127"/>
      <c r="L59" s="127"/>
    </row>
    <row r="60" spans="1:12" x14ac:dyDescent="0.3">
      <c r="B60" s="127"/>
      <c r="C60" s="709" t="s">
        <v>373</v>
      </c>
      <c r="D60" s="127"/>
      <c r="E60" s="127"/>
      <c r="F60" s="127"/>
      <c r="G60" s="127"/>
      <c r="H60" s="127"/>
      <c r="I60" s="565"/>
      <c r="J60" s="560"/>
      <c r="K60" s="127"/>
      <c r="L60" s="127"/>
    </row>
    <row r="61" spans="1:12" ht="15" thickBot="1" x14ac:dyDescent="0.35">
      <c r="B61" s="127"/>
      <c r="C61" s="709" t="s">
        <v>374</v>
      </c>
      <c r="D61" s="127"/>
      <c r="E61" s="127"/>
      <c r="F61" s="127"/>
      <c r="G61" s="127"/>
      <c r="H61" s="127"/>
      <c r="I61" s="565"/>
      <c r="J61" s="560"/>
      <c r="K61" s="127"/>
      <c r="L61" s="127"/>
    </row>
    <row r="62" spans="1:12" ht="16.2" thickBot="1" x14ac:dyDescent="0.35">
      <c r="A62" s="831" t="s">
        <v>386</v>
      </c>
      <c r="B62" s="832"/>
      <c r="C62" s="832"/>
      <c r="D62" s="832"/>
      <c r="E62" s="832"/>
      <c r="F62" s="832"/>
      <c r="G62" s="832"/>
      <c r="H62" s="832"/>
      <c r="I62" s="833" t="s">
        <v>387</v>
      </c>
      <c r="J62" s="833"/>
      <c r="K62" s="833"/>
      <c r="L62" s="834"/>
    </row>
    <row r="63" spans="1:12" x14ac:dyDescent="0.3">
      <c r="A63" s="835" t="s">
        <v>521</v>
      </c>
      <c r="B63" s="835"/>
      <c r="C63" s="835"/>
      <c r="D63" s="835"/>
      <c r="E63" s="835"/>
      <c r="F63" s="835"/>
      <c r="G63" s="835"/>
      <c r="H63" s="835"/>
      <c r="I63" s="835"/>
      <c r="J63" s="835"/>
      <c r="K63" s="835"/>
      <c r="L63" s="835"/>
    </row>
    <row r="64" spans="1:12" ht="15" thickBot="1" x14ac:dyDescent="0.35"/>
    <row r="65" spans="1:16" ht="15" thickBot="1" x14ac:dyDescent="0.35">
      <c r="A65" s="854" t="s">
        <v>536</v>
      </c>
      <c r="B65" s="855"/>
      <c r="C65" s="855"/>
      <c r="D65" s="855"/>
      <c r="E65" s="855"/>
      <c r="F65" s="855"/>
      <c r="G65" s="855"/>
      <c r="H65" s="855"/>
      <c r="I65" s="855"/>
      <c r="J65" s="855"/>
      <c r="K65" s="855"/>
      <c r="L65" s="855"/>
      <c r="M65" s="855"/>
      <c r="N65" s="855"/>
      <c r="O65" s="855"/>
      <c r="P65" s="856"/>
    </row>
    <row r="66" spans="1:16" x14ac:dyDescent="0.3">
      <c r="A66" s="567"/>
      <c r="B66" s="709" t="s">
        <v>548</v>
      </c>
      <c r="C66" s="712"/>
      <c r="D66" s="712"/>
      <c r="E66" s="712"/>
      <c r="F66" s="712"/>
      <c r="G66" s="712"/>
      <c r="H66" s="712"/>
      <c r="I66" s="712"/>
      <c r="J66" s="712"/>
      <c r="K66" s="712"/>
    </row>
    <row r="67" spans="1:16" x14ac:dyDescent="0.3">
      <c r="A67" s="567"/>
      <c r="B67" s="551" t="s">
        <v>493</v>
      </c>
      <c r="C67" s="551"/>
      <c r="D67" s="712"/>
      <c r="E67" s="712"/>
      <c r="F67" s="712"/>
      <c r="G67" s="712"/>
      <c r="H67" s="712"/>
      <c r="I67" s="712"/>
      <c r="J67" s="712"/>
      <c r="K67" s="712"/>
    </row>
    <row r="68" spans="1:16" x14ac:dyDescent="0.3">
      <c r="B68" s="563" t="s">
        <v>466</v>
      </c>
      <c r="C68" s="127"/>
      <c r="D68" s="551"/>
      <c r="E68" s="551"/>
      <c r="F68" s="551"/>
      <c r="G68" s="551"/>
      <c r="H68" s="551"/>
      <c r="I68" s="551"/>
      <c r="J68" s="551"/>
      <c r="K68" s="712"/>
    </row>
    <row r="69" spans="1:16" x14ac:dyDescent="0.3">
      <c r="C69" s="127" t="s">
        <v>396</v>
      </c>
      <c r="D69" s="127"/>
      <c r="E69" s="127"/>
      <c r="F69" s="127"/>
      <c r="G69" s="127"/>
      <c r="H69" s="127"/>
      <c r="I69" s="127"/>
      <c r="J69" s="127"/>
      <c r="K69" s="127"/>
    </row>
    <row r="70" spans="1:16" x14ac:dyDescent="0.3">
      <c r="C70" s="127" t="s">
        <v>395</v>
      </c>
      <c r="D70" s="127"/>
      <c r="E70" s="127"/>
      <c r="F70" s="127"/>
      <c r="G70" s="127"/>
      <c r="H70" s="127"/>
      <c r="I70" s="127"/>
      <c r="J70" s="127"/>
      <c r="K70" s="127"/>
    </row>
    <row r="71" spans="1:16" x14ac:dyDescent="0.3">
      <c r="C71" s="127" t="s">
        <v>369</v>
      </c>
      <c r="D71" s="127"/>
      <c r="E71" s="127"/>
      <c r="F71" s="127"/>
      <c r="G71" s="127"/>
      <c r="H71" s="127"/>
      <c r="I71" s="127"/>
      <c r="J71" s="127"/>
      <c r="K71" s="127"/>
    </row>
    <row r="72" spans="1:16" x14ac:dyDescent="0.3">
      <c r="B72" s="563" t="s">
        <v>537</v>
      </c>
      <c r="C72" s="127"/>
      <c r="D72" s="127"/>
      <c r="E72" s="127"/>
      <c r="F72" s="127"/>
      <c r="G72" s="127"/>
      <c r="H72" s="127"/>
      <c r="I72" s="127"/>
      <c r="J72" s="127"/>
      <c r="K72" s="127"/>
    </row>
    <row r="73" spans="1:16" x14ac:dyDescent="0.3">
      <c r="B73" s="563" t="s">
        <v>549</v>
      </c>
      <c r="C73" s="127"/>
      <c r="D73" s="127"/>
      <c r="E73" s="127"/>
      <c r="F73" s="127"/>
      <c r="G73" s="127"/>
      <c r="H73" s="127"/>
      <c r="I73" s="127"/>
      <c r="J73" s="127"/>
      <c r="K73" s="127"/>
    </row>
    <row r="74" spans="1:16" x14ac:dyDescent="0.3">
      <c r="B74" s="563" t="s">
        <v>556</v>
      </c>
      <c r="C74" s="127"/>
      <c r="D74" s="127"/>
      <c r="E74" s="127"/>
      <c r="F74" s="127"/>
      <c r="G74" s="127"/>
      <c r="H74" s="127"/>
      <c r="I74" s="127"/>
      <c r="J74" s="127"/>
      <c r="K74" s="127"/>
    </row>
    <row r="75" spans="1:16" x14ac:dyDescent="0.3">
      <c r="B75" s="563" t="s">
        <v>538</v>
      </c>
      <c r="C75" s="127"/>
      <c r="D75" s="127"/>
      <c r="E75" s="127"/>
      <c r="F75" s="127"/>
      <c r="G75" s="127"/>
      <c r="H75" s="127"/>
      <c r="I75" s="127"/>
      <c r="J75" s="127"/>
      <c r="K75" s="127"/>
    </row>
    <row r="76" spans="1:16" x14ac:dyDescent="0.3">
      <c r="A76" s="564"/>
      <c r="B76" s="127" t="s">
        <v>468</v>
      </c>
      <c r="C76" s="127"/>
      <c r="D76" s="127"/>
      <c r="E76" s="127"/>
      <c r="F76" s="562" t="s">
        <v>172</v>
      </c>
      <c r="G76" s="568" t="s">
        <v>390</v>
      </c>
      <c r="H76" t="s">
        <v>469</v>
      </c>
      <c r="I76" s="568" t="s">
        <v>390</v>
      </c>
      <c r="J76" s="127" t="s">
        <v>1</v>
      </c>
      <c r="K76" s="568"/>
      <c r="L76" s="127"/>
      <c r="M76" s="568"/>
      <c r="N76" s="127"/>
    </row>
    <row r="77" spans="1:16" x14ac:dyDescent="0.3">
      <c r="A77" s="564"/>
      <c r="B77" s="127" t="s">
        <v>467</v>
      </c>
      <c r="C77" s="127"/>
      <c r="K77" s="127"/>
    </row>
    <row r="78" spans="1:16" x14ac:dyDescent="0.3">
      <c r="B78" s="563"/>
      <c r="C78" s="127" t="s">
        <v>470</v>
      </c>
    </row>
    <row r="79" spans="1:16" x14ac:dyDescent="0.3">
      <c r="B79" s="569"/>
      <c r="C79" s="563" t="s">
        <v>375</v>
      </c>
      <c r="D79" s="127"/>
      <c r="E79" s="127"/>
      <c r="F79" s="127"/>
      <c r="G79" s="127"/>
      <c r="H79" s="127"/>
      <c r="I79" s="127"/>
      <c r="J79" s="127"/>
      <c r="K79" s="127"/>
    </row>
    <row r="80" spans="1:16" x14ac:dyDescent="0.3">
      <c r="B80" s="569"/>
      <c r="C80" s="563" t="s">
        <v>542</v>
      </c>
      <c r="D80" s="569"/>
      <c r="E80" s="569"/>
      <c r="F80" s="569"/>
      <c r="G80" s="569"/>
      <c r="H80" s="569"/>
      <c r="I80" s="569"/>
      <c r="J80" s="569"/>
      <c r="K80" s="569"/>
      <c r="L80" s="127"/>
    </row>
    <row r="81" spans="1:16" x14ac:dyDescent="0.3">
      <c r="B81" s="569"/>
      <c r="C81" s="127" t="s">
        <v>471</v>
      </c>
      <c r="D81" s="569"/>
      <c r="E81" s="569"/>
      <c r="F81" s="569"/>
      <c r="G81" s="569"/>
      <c r="H81" s="569"/>
      <c r="I81" s="569"/>
      <c r="J81" s="569"/>
      <c r="K81" s="569"/>
      <c r="L81" s="127"/>
    </row>
    <row r="82" spans="1:16" x14ac:dyDescent="0.3">
      <c r="B82" s="569"/>
      <c r="C82" s="127" t="s">
        <v>539</v>
      </c>
      <c r="D82" s="569"/>
      <c r="E82" s="569"/>
      <c r="F82" s="569"/>
      <c r="G82" s="569"/>
      <c r="H82" s="569"/>
      <c r="I82" s="569"/>
      <c r="J82" s="569"/>
      <c r="K82" s="569"/>
      <c r="L82" s="127"/>
    </row>
    <row r="83" spans="1:16" x14ac:dyDescent="0.3">
      <c r="B83" s="569"/>
      <c r="C83" s="127" t="s">
        <v>540</v>
      </c>
      <c r="D83" s="569"/>
      <c r="E83" s="569"/>
      <c r="F83" s="569"/>
      <c r="G83" s="569"/>
      <c r="H83" s="569"/>
      <c r="I83" s="569"/>
      <c r="J83" s="569"/>
      <c r="K83" s="569"/>
      <c r="L83" s="127"/>
    </row>
    <row r="84" spans="1:16" x14ac:dyDescent="0.3">
      <c r="B84" s="569"/>
      <c r="C84" s="563" t="s">
        <v>541</v>
      </c>
      <c r="D84" s="569"/>
      <c r="E84" s="569"/>
      <c r="F84" s="569"/>
      <c r="G84" s="569"/>
      <c r="H84" s="569"/>
      <c r="I84" s="569"/>
      <c r="J84" s="569"/>
      <c r="K84" s="569"/>
      <c r="L84" s="127"/>
    </row>
    <row r="85" spans="1:16" x14ac:dyDescent="0.3">
      <c r="B85" s="563" t="s">
        <v>472</v>
      </c>
      <c r="C85" s="563"/>
      <c r="D85" s="569"/>
      <c r="E85" s="569"/>
      <c r="F85" s="569"/>
      <c r="G85" s="569"/>
      <c r="H85" s="569"/>
      <c r="I85" s="569"/>
      <c r="J85" s="569"/>
      <c r="K85" s="569"/>
      <c r="L85" s="127"/>
    </row>
    <row r="86" spans="1:16" ht="16.2" x14ac:dyDescent="0.3">
      <c r="B86" s="570" t="s">
        <v>473</v>
      </c>
      <c r="C86" s="570"/>
      <c r="D86" s="569"/>
      <c r="E86" s="569"/>
      <c r="F86" s="569"/>
      <c r="G86" s="569"/>
      <c r="H86" s="569"/>
      <c r="I86" s="569"/>
      <c r="J86" s="569"/>
      <c r="K86" s="569"/>
      <c r="L86" s="127"/>
    </row>
    <row r="87" spans="1:16" ht="16.2" x14ac:dyDescent="0.3">
      <c r="B87" s="570"/>
      <c r="C87" s="570" t="s">
        <v>376</v>
      </c>
      <c r="D87" s="569"/>
      <c r="E87" s="569"/>
      <c r="F87" s="569"/>
      <c r="G87" s="569"/>
      <c r="H87" s="569"/>
      <c r="I87" s="569"/>
      <c r="J87" s="569"/>
      <c r="K87" s="569"/>
      <c r="L87" s="127"/>
    </row>
    <row r="88" spans="1:16" ht="15" thickBot="1" x14ac:dyDescent="0.35">
      <c r="J88" s="127"/>
    </row>
    <row r="89" spans="1:16" ht="15" thickBot="1" x14ac:dyDescent="0.35">
      <c r="A89" s="857" t="s">
        <v>474</v>
      </c>
      <c r="B89" s="858"/>
      <c r="C89" s="858"/>
      <c r="D89" s="858"/>
      <c r="E89" s="858"/>
      <c r="F89" s="858"/>
      <c r="G89" s="858"/>
      <c r="H89" s="858"/>
      <c r="I89" s="858"/>
      <c r="J89" s="858"/>
      <c r="K89" s="858"/>
      <c r="L89" s="858"/>
      <c r="M89" s="858"/>
      <c r="N89" s="858"/>
      <c r="O89" s="858"/>
      <c r="P89" s="859"/>
    </row>
    <row r="90" spans="1:16" x14ac:dyDescent="0.3">
      <c r="A90" s="709" t="s">
        <v>550</v>
      </c>
      <c r="C90" s="562"/>
      <c r="I90" s="127"/>
      <c r="J90" s="127"/>
    </row>
    <row r="91" spans="1:16" x14ac:dyDescent="0.3">
      <c r="A91" s="562"/>
      <c r="B91" s="562" t="s">
        <v>475</v>
      </c>
      <c r="C91" s="562"/>
      <c r="I91" s="560"/>
      <c r="J91" s="127"/>
    </row>
    <row r="92" spans="1:16" x14ac:dyDescent="0.3">
      <c r="A92" s="562"/>
      <c r="B92" s="681" t="s">
        <v>491</v>
      </c>
      <c r="I92" s="571"/>
      <c r="J92" s="560"/>
      <c r="K92" s="127"/>
      <c r="L92" s="127"/>
    </row>
    <row r="93" spans="1:16" x14ac:dyDescent="0.3">
      <c r="A93" s="562"/>
      <c r="B93" s="562" t="s">
        <v>480</v>
      </c>
      <c r="C93" s="562"/>
      <c r="I93" s="572"/>
      <c r="J93" s="571"/>
      <c r="K93" s="571"/>
      <c r="L93" s="571"/>
    </row>
    <row r="94" spans="1:16" x14ac:dyDescent="0.3">
      <c r="A94" s="562"/>
      <c r="B94" s="562"/>
      <c r="C94" s="562" t="s">
        <v>476</v>
      </c>
      <c r="K94" s="572"/>
      <c r="L94" s="572"/>
    </row>
    <row r="95" spans="1:16" x14ac:dyDescent="0.3">
      <c r="A95" s="562"/>
      <c r="B95" s="562"/>
      <c r="C95" s="709" t="s">
        <v>477</v>
      </c>
      <c r="K95" s="127"/>
      <c r="L95" s="127"/>
    </row>
    <row r="96" spans="1:16" x14ac:dyDescent="0.3">
      <c r="A96" s="562"/>
      <c r="B96" s="562" t="s">
        <v>492</v>
      </c>
      <c r="C96" s="562"/>
      <c r="K96" s="127"/>
      <c r="L96" s="127"/>
    </row>
    <row r="97" spans="1:12" x14ac:dyDescent="0.3">
      <c r="A97" s="562"/>
      <c r="B97" s="562" t="s">
        <v>481</v>
      </c>
      <c r="C97" s="562"/>
      <c r="K97" s="127"/>
      <c r="L97" s="127"/>
    </row>
    <row r="98" spans="1:12" x14ac:dyDescent="0.3">
      <c r="A98" s="562"/>
      <c r="B98" s="562"/>
      <c r="C98" s="562" t="s">
        <v>478</v>
      </c>
    </row>
    <row r="99" spans="1:12" x14ac:dyDescent="0.3">
      <c r="A99" s="562"/>
      <c r="B99" s="562"/>
      <c r="C99" s="562" t="s">
        <v>479</v>
      </c>
      <c r="I99" s="560"/>
      <c r="J99" s="572"/>
    </row>
    <row r="100" spans="1:12" x14ac:dyDescent="0.3">
      <c r="A100" s="562"/>
      <c r="B100" s="562" t="s">
        <v>543</v>
      </c>
      <c r="C100" s="562"/>
      <c r="I100" s="127"/>
      <c r="J100" s="560"/>
    </row>
    <row r="101" spans="1:12" x14ac:dyDescent="0.3">
      <c r="A101" s="562"/>
      <c r="B101" s="562"/>
      <c r="C101" s="562" t="s">
        <v>544</v>
      </c>
      <c r="I101" s="127"/>
      <c r="J101" s="560"/>
    </row>
    <row r="102" spans="1:12" x14ac:dyDescent="0.3">
      <c r="A102" s="562"/>
      <c r="B102" s="562"/>
      <c r="C102" s="562" t="s">
        <v>484</v>
      </c>
      <c r="I102" s="127"/>
      <c r="J102" s="127"/>
    </row>
    <row r="103" spans="1:12" x14ac:dyDescent="0.3">
      <c r="A103" s="562"/>
      <c r="B103" s="562"/>
      <c r="C103" s="562" t="s">
        <v>485</v>
      </c>
      <c r="I103" s="127"/>
      <c r="J103" s="127"/>
    </row>
    <row r="104" spans="1:12" x14ac:dyDescent="0.3">
      <c r="A104" s="562"/>
      <c r="B104" s="562"/>
      <c r="C104" s="709" t="s">
        <v>486</v>
      </c>
      <c r="J104" s="127"/>
    </row>
    <row r="105" spans="1:12" x14ac:dyDescent="0.3">
      <c r="A105" s="562"/>
      <c r="B105" s="562"/>
      <c r="C105" s="562" t="s">
        <v>487</v>
      </c>
    </row>
    <row r="106" spans="1:12" x14ac:dyDescent="0.3">
      <c r="A106" s="562"/>
      <c r="B106" s="562"/>
      <c r="C106" s="562" t="s">
        <v>488</v>
      </c>
    </row>
    <row r="107" spans="1:12" x14ac:dyDescent="0.3">
      <c r="A107" s="562"/>
      <c r="B107" s="562"/>
      <c r="C107" s="562" t="s">
        <v>489</v>
      </c>
    </row>
    <row r="108" spans="1:12" x14ac:dyDescent="0.3">
      <c r="A108" s="562"/>
      <c r="B108" s="562"/>
      <c r="C108" s="562" t="s">
        <v>490</v>
      </c>
    </row>
    <row r="109" spans="1:12" x14ac:dyDescent="0.3">
      <c r="A109" s="562"/>
      <c r="B109" s="562" t="s">
        <v>482</v>
      </c>
      <c r="C109" s="562"/>
    </row>
    <row r="110" spans="1:12" x14ac:dyDescent="0.3">
      <c r="A110" s="562"/>
      <c r="B110" s="562" t="s">
        <v>545</v>
      </c>
      <c r="C110" s="562"/>
    </row>
    <row r="111" spans="1:12" x14ac:dyDescent="0.3">
      <c r="B111" s="562" t="s">
        <v>483</v>
      </c>
      <c r="C111" s="562"/>
    </row>
    <row r="112" spans="1:12" ht="15" thickBot="1" x14ac:dyDescent="0.35"/>
    <row r="113" spans="1:16" ht="15" thickBot="1" x14ac:dyDescent="0.35">
      <c r="A113" s="842" t="s">
        <v>173</v>
      </c>
      <c r="B113" s="843"/>
      <c r="C113" s="843"/>
      <c r="D113" s="843"/>
      <c r="E113" s="843"/>
      <c r="F113" s="843"/>
      <c r="G113" s="843"/>
      <c r="H113" s="843"/>
      <c r="I113" s="843"/>
      <c r="J113" s="843"/>
      <c r="K113" s="843"/>
      <c r="L113" s="843"/>
      <c r="M113" s="843"/>
      <c r="N113" s="843"/>
      <c r="O113" s="843"/>
      <c r="P113" s="844"/>
    </row>
    <row r="114" spans="1:16" x14ac:dyDescent="0.3">
      <c r="B114" t="s">
        <v>174</v>
      </c>
    </row>
    <row r="115" spans="1:16" x14ac:dyDescent="0.3">
      <c r="B115" s="711" t="s">
        <v>370</v>
      </c>
    </row>
    <row r="128" spans="1:16" x14ac:dyDescent="0.3">
      <c r="C128" s="713"/>
      <c r="D128" s="713"/>
      <c r="E128" s="713"/>
      <c r="F128" s="713"/>
    </row>
    <row r="129" spans="3:6" x14ac:dyDescent="0.3">
      <c r="C129" s="713"/>
      <c r="D129" s="713"/>
      <c r="E129" s="713"/>
      <c r="F129" s="713"/>
    </row>
    <row r="130" spans="3:6" x14ac:dyDescent="0.3">
      <c r="C130" s="713"/>
      <c r="D130" s="713"/>
      <c r="E130" s="713"/>
      <c r="F130" s="713"/>
    </row>
    <row r="131" spans="3:6" x14ac:dyDescent="0.3">
      <c r="C131" s="553"/>
      <c r="D131" s="553"/>
      <c r="E131" s="553"/>
      <c r="F131" s="553"/>
    </row>
    <row r="132" spans="3:6" x14ac:dyDescent="0.3">
      <c r="C132" s="553"/>
      <c r="D132" s="553"/>
      <c r="E132" s="553"/>
      <c r="F132" s="553"/>
    </row>
    <row r="133" spans="3:6" x14ac:dyDescent="0.3">
      <c r="C133" s="553"/>
      <c r="D133" s="553"/>
      <c r="E133" s="553"/>
      <c r="F133" s="553"/>
    </row>
  </sheetData>
  <mergeCells count="24">
    <mergeCell ref="N9:O9"/>
    <mergeCell ref="A11:P11"/>
    <mergeCell ref="A113:P113"/>
    <mergeCell ref="B20:D20"/>
    <mergeCell ref="B21:D21"/>
    <mergeCell ref="A23:P23"/>
    <mergeCell ref="A24:P24"/>
    <mergeCell ref="A39:P39"/>
    <mergeCell ref="A44:P44"/>
    <mergeCell ref="A62:H62"/>
    <mergeCell ref="I62:L62"/>
    <mergeCell ref="A63:L63"/>
    <mergeCell ref="A65:P65"/>
    <mergeCell ref="A89:P89"/>
    <mergeCell ref="A12:B12"/>
    <mergeCell ref="B6:L6"/>
    <mergeCell ref="B7:L7"/>
    <mergeCell ref="B8:L8"/>
    <mergeCell ref="B9:L9"/>
    <mergeCell ref="A1:H1"/>
    <mergeCell ref="I1:L1"/>
    <mergeCell ref="A2:L2"/>
    <mergeCell ref="A4:L4"/>
    <mergeCell ref="B5:L5"/>
  </mergeCells>
  <pageMargins left="0.7" right="0.7" top="0.75" bottom="0.75" header="0.3" footer="0.3"/>
  <pageSetup scale="61" orientation="portrait" r:id="rId1"/>
  <rowBreaks count="1" manualBreakCount="1">
    <brk id="61" max="15"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A4E8-B53C-4611-B693-E7F1D5BE2C9B}">
  <dimension ref="A1:Z143"/>
  <sheetViews>
    <sheetView showGridLines="0" zoomScale="90" zoomScaleNormal="90" zoomScaleSheetLayoutView="85" workbookViewId="0">
      <selection activeCell="L47" activeCellId="2" sqref="J4:J7 L45 L47"/>
    </sheetView>
  </sheetViews>
  <sheetFormatPr defaultColWidth="9.33203125" defaultRowHeight="15.6" x14ac:dyDescent="0.3"/>
  <cols>
    <col min="1" max="1" width="16.5546875" style="361" customWidth="1"/>
    <col min="2" max="2" width="10.6640625" style="361" customWidth="1"/>
    <col min="3" max="10" width="13.5546875" style="361" customWidth="1"/>
    <col min="11" max="11" width="28.44140625" style="361" customWidth="1"/>
    <col min="12" max="12" width="17" style="361" bestFit="1" customWidth="1"/>
    <col min="13" max="14" width="13.6640625" style="361" customWidth="1"/>
    <col min="15" max="15" width="31" style="361" customWidth="1"/>
    <col min="16" max="16" width="12.88671875" style="361" bestFit="1" customWidth="1"/>
    <col min="17" max="17" width="13.6640625" style="361" customWidth="1"/>
    <col min="18" max="19" width="12.6640625" style="361" bestFit="1" customWidth="1"/>
    <col min="20" max="20" width="14" style="361" customWidth="1"/>
    <col min="21" max="21" width="11.6640625" style="361" customWidth="1"/>
    <col min="22" max="22" width="9.33203125" style="361" bestFit="1" customWidth="1"/>
    <col min="23" max="23" width="11.5546875" style="361" customWidth="1"/>
    <col min="24" max="24" width="9.33203125" style="361"/>
    <col min="25" max="26" width="9.33203125" style="361" bestFit="1" customWidth="1"/>
    <col min="27" max="16384" width="9.33203125" style="361"/>
  </cols>
  <sheetData>
    <row r="1" spans="1:21" ht="16.2" thickBot="1" x14ac:dyDescent="0.35">
      <c r="A1" s="1108" t="s">
        <v>389</v>
      </c>
      <c r="B1" s="1109"/>
      <c r="C1" s="1109"/>
      <c r="D1" s="1109"/>
      <c r="E1" s="1109"/>
      <c r="F1" s="1110" t="s">
        <v>387</v>
      </c>
      <c r="G1" s="1110"/>
      <c r="H1" s="1110"/>
      <c r="I1" s="1111"/>
    </row>
    <row r="2" spans="1:21" ht="16.2" thickBot="1" x14ac:dyDescent="0.35">
      <c r="A2" s="612" t="str">
        <f>Directions!A2</f>
        <v>DT2220     07/2022</v>
      </c>
      <c r="B2" s="613"/>
      <c r="C2" s="614"/>
      <c r="D2" s="614"/>
      <c r="E2" s="614"/>
      <c r="F2" s="614"/>
      <c r="G2" s="614"/>
      <c r="H2" s="614"/>
    </row>
    <row r="3" spans="1:21" ht="15.6" customHeight="1" thickBot="1" x14ac:dyDescent="0.35">
      <c r="D3" s="365"/>
      <c r="E3" s="365"/>
      <c r="G3" s="1140" t="s">
        <v>161</v>
      </c>
      <c r="H3" s="1141"/>
      <c r="I3" s="1141"/>
      <c r="J3" s="1142"/>
      <c r="K3" s="365"/>
      <c r="L3" s="365"/>
      <c r="M3" s="365"/>
      <c r="N3" s="365"/>
      <c r="O3" s="365"/>
      <c r="P3" s="365"/>
      <c r="Q3" s="365"/>
      <c r="R3" s="365"/>
      <c r="S3" s="365"/>
      <c r="T3" s="366"/>
    </row>
    <row r="4" spans="1:21" ht="15.6" customHeight="1" x14ac:dyDescent="0.3">
      <c r="A4" s="615"/>
      <c r="B4" s="1143" t="str">
        <f>Directions!N9</f>
        <v>Version 2.0</v>
      </c>
      <c r="C4" s="1143"/>
      <c r="D4" s="391"/>
      <c r="E4" s="391"/>
      <c r="G4" s="616" t="s">
        <v>162</v>
      </c>
      <c r="H4" s="617"/>
      <c r="I4" s="617"/>
      <c r="J4" s="618" t="e">
        <f>SUM(N14:N19)/SUM(N14:N21)*100</f>
        <v>#VALUE!</v>
      </c>
      <c r="N4" s="365"/>
      <c r="O4" s="365"/>
      <c r="P4" s="365"/>
      <c r="Q4" s="365"/>
      <c r="R4" s="365"/>
      <c r="T4" s="366"/>
      <c r="U4" s="366"/>
    </row>
    <row r="5" spans="1:21" x14ac:dyDescent="0.3">
      <c r="A5" s="401"/>
      <c r="B5" s="1144" t="s">
        <v>234</v>
      </c>
      <c r="C5" s="1144"/>
      <c r="D5" s="1144"/>
      <c r="E5" s="1144"/>
      <c r="G5" s="619" t="s">
        <v>158</v>
      </c>
      <c r="J5" s="620" t="str">
        <f>M21</f>
        <v>GRAD. ERROR</v>
      </c>
      <c r="Q5" s="365"/>
      <c r="S5" s="365"/>
    </row>
    <row r="6" spans="1:21" x14ac:dyDescent="0.3">
      <c r="A6" s="447"/>
      <c r="B6" s="1144"/>
      <c r="C6" s="1144"/>
      <c r="D6" s="1144"/>
      <c r="E6" s="1144"/>
      <c r="G6" s="619" t="s">
        <v>159</v>
      </c>
      <c r="J6" s="620">
        <f>IF('3 Paste Quality'!B32&lt;565,0,('3 Paste Quality'!B32-565)/94)*2.5</f>
        <v>0</v>
      </c>
    </row>
    <row r="7" spans="1:21" ht="16.2" thickBot="1" x14ac:dyDescent="0.35">
      <c r="A7" s="401"/>
      <c r="B7" s="1144"/>
      <c r="C7" s="1144"/>
      <c r="D7" s="1144"/>
      <c r="E7" s="1144"/>
      <c r="F7" s="471"/>
      <c r="G7" s="621" t="s">
        <v>160</v>
      </c>
      <c r="H7" s="622"/>
      <c r="I7" s="623"/>
      <c r="J7" s="624" t="e">
        <f>J6+J5</f>
        <v>#VALUE!</v>
      </c>
    </row>
    <row r="8" spans="1:21" ht="16.2" thickBot="1" x14ac:dyDescent="0.35">
      <c r="A8" s="330"/>
      <c r="B8" s="330"/>
      <c r="C8" s="432"/>
      <c r="G8" s="396"/>
    </row>
    <row r="9" spans="1:21" ht="16.2" thickBot="1" x14ac:dyDescent="0.35">
      <c r="A9" s="351"/>
      <c r="B9" s="330"/>
      <c r="C9" s="432"/>
      <c r="G9" s="396"/>
      <c r="L9" s="760" t="s">
        <v>270</v>
      </c>
      <c r="M9" s="787"/>
      <c r="N9" s="787"/>
      <c r="O9" s="1145" t="s">
        <v>271</v>
      </c>
      <c r="P9" s="1146"/>
    </row>
    <row r="10" spans="1:21" ht="29.25" customHeight="1" thickBot="1" x14ac:dyDescent="0.35">
      <c r="L10" s="777" t="s">
        <v>31</v>
      </c>
      <c r="M10" s="820" t="s">
        <v>228</v>
      </c>
      <c r="N10" s="821"/>
      <c r="O10" s="420" t="s">
        <v>178</v>
      </c>
      <c r="P10" s="625" t="s">
        <v>224</v>
      </c>
    </row>
    <row r="11" spans="1:21" x14ac:dyDescent="0.3">
      <c r="L11" s="795"/>
      <c r="M11" s="779" t="s">
        <v>226</v>
      </c>
      <c r="N11" s="779" t="s">
        <v>227</v>
      </c>
      <c r="O11" s="626" t="str">
        <f>'4 Mix Design'!B16</f>
        <v/>
      </c>
      <c r="P11" s="627" t="e">
        <f>'5 Agg Analysis'!AE35</f>
        <v>#DIV/0!</v>
      </c>
    </row>
    <row r="12" spans="1:21" x14ac:dyDescent="0.3">
      <c r="L12" s="795"/>
      <c r="M12" s="818"/>
      <c r="N12" s="818"/>
      <c r="O12" s="628" t="str">
        <f>'4 Mix Design'!B17</f>
        <v/>
      </c>
      <c r="P12" s="629" t="e">
        <f>'5 Agg Analysis'!AE36</f>
        <v>#DIV/0!</v>
      </c>
    </row>
    <row r="13" spans="1:21" ht="16.2" thickBot="1" x14ac:dyDescent="0.35">
      <c r="L13" s="778"/>
      <c r="M13" s="781"/>
      <c r="N13" s="781"/>
      <c r="O13" s="628" t="str">
        <f>'4 Mix Design'!B18</f>
        <v/>
      </c>
      <c r="P13" s="629" t="e">
        <f>'5 Agg Analysis'!AE37</f>
        <v>#DIV/0!</v>
      </c>
    </row>
    <row r="14" spans="1:21" x14ac:dyDescent="0.3">
      <c r="L14" s="494" t="s">
        <v>34</v>
      </c>
      <c r="M14" s="499" t="str">
        <f>'4 Mix Design'!I52</f>
        <v>GRAD. ERROR</v>
      </c>
      <c r="N14" s="630" t="e">
        <f>100-M14</f>
        <v>#VALUE!</v>
      </c>
      <c r="O14" s="628" t="str">
        <f>'4 Mix Design'!B19</f>
        <v/>
      </c>
      <c r="P14" s="629" t="e">
        <f>'5 Agg Analysis'!AE38</f>
        <v>#DIV/0!</v>
      </c>
    </row>
    <row r="15" spans="1:21" ht="16.2" thickBot="1" x14ac:dyDescent="0.35">
      <c r="L15" s="501" t="s">
        <v>35</v>
      </c>
      <c r="M15" s="500" t="str">
        <f>'4 Mix Design'!I53</f>
        <v>GRAD. ERROR</v>
      </c>
      <c r="N15" s="631" t="e">
        <f>100-M15</f>
        <v>#VALUE!</v>
      </c>
      <c r="O15" s="632" t="str">
        <f>'4 Mix Design'!B20</f>
        <v/>
      </c>
      <c r="P15" s="633" t="e">
        <f>'5 Agg Analysis'!AE39</f>
        <v>#DIV/0!</v>
      </c>
    </row>
    <row r="16" spans="1:21" x14ac:dyDescent="0.3">
      <c r="L16" s="501" t="s">
        <v>36</v>
      </c>
      <c r="M16" s="500" t="str">
        <f>'4 Mix Design'!I54</f>
        <v>GRAD. ERROR</v>
      </c>
      <c r="N16" s="506" t="e">
        <f t="shared" ref="N16:N26" si="0">100-M16</f>
        <v>#VALUE!</v>
      </c>
    </row>
    <row r="17" spans="2:14" x14ac:dyDescent="0.3">
      <c r="L17" s="501" t="s">
        <v>37</v>
      </c>
      <c r="M17" s="500" t="str">
        <f>'4 Mix Design'!I55</f>
        <v>GRAD. ERROR</v>
      </c>
      <c r="N17" s="506" t="e">
        <f t="shared" si="0"/>
        <v>#VALUE!</v>
      </c>
    </row>
    <row r="18" spans="2:14" x14ac:dyDescent="0.3">
      <c r="L18" s="501" t="s">
        <v>38</v>
      </c>
      <c r="M18" s="500" t="str">
        <f>'4 Mix Design'!I56</f>
        <v>GRAD. ERROR</v>
      </c>
      <c r="N18" s="506" t="e">
        <f t="shared" si="0"/>
        <v>#VALUE!</v>
      </c>
    </row>
    <row r="19" spans="2:14" x14ac:dyDescent="0.3">
      <c r="L19" s="501" t="s">
        <v>39</v>
      </c>
      <c r="M19" s="500" t="str">
        <f>'4 Mix Design'!I57</f>
        <v>GRAD. ERROR</v>
      </c>
      <c r="N19" s="506" t="e">
        <f t="shared" si="0"/>
        <v>#VALUE!</v>
      </c>
    </row>
    <row r="20" spans="2:14" x14ac:dyDescent="0.3">
      <c r="L20" s="501" t="s">
        <v>40</v>
      </c>
      <c r="M20" s="500" t="str">
        <f>'4 Mix Design'!I58</f>
        <v>GRAD. ERROR</v>
      </c>
      <c r="N20" s="506" t="e">
        <f t="shared" si="0"/>
        <v>#VALUE!</v>
      </c>
    </row>
    <row r="21" spans="2:14" x14ac:dyDescent="0.3">
      <c r="L21" s="501" t="s">
        <v>41</v>
      </c>
      <c r="M21" s="500" t="str">
        <f>'4 Mix Design'!I59</f>
        <v>GRAD. ERROR</v>
      </c>
      <c r="N21" s="506" t="e">
        <f t="shared" si="0"/>
        <v>#VALUE!</v>
      </c>
    </row>
    <row r="22" spans="2:14" x14ac:dyDescent="0.3">
      <c r="L22" s="501" t="s">
        <v>42</v>
      </c>
      <c r="M22" s="500" t="str">
        <f>'4 Mix Design'!I60</f>
        <v>GRAD. ERROR</v>
      </c>
      <c r="N22" s="506" t="e">
        <f t="shared" si="0"/>
        <v>#VALUE!</v>
      </c>
    </row>
    <row r="23" spans="2:14" x14ac:dyDescent="0.3">
      <c r="L23" s="501" t="s">
        <v>43</v>
      </c>
      <c r="M23" s="500" t="str">
        <f>'4 Mix Design'!I61</f>
        <v>GRAD. ERROR</v>
      </c>
      <c r="N23" s="506" t="e">
        <f t="shared" si="0"/>
        <v>#VALUE!</v>
      </c>
    </row>
    <row r="24" spans="2:14" x14ac:dyDescent="0.3">
      <c r="L24" s="501" t="s">
        <v>44</v>
      </c>
      <c r="M24" s="500" t="str">
        <f>'4 Mix Design'!I62</f>
        <v>GRAD. ERROR</v>
      </c>
      <c r="N24" s="506" t="e">
        <f t="shared" si="0"/>
        <v>#VALUE!</v>
      </c>
    </row>
    <row r="25" spans="2:14" x14ac:dyDescent="0.3">
      <c r="L25" s="501" t="s">
        <v>45</v>
      </c>
      <c r="M25" s="500" t="str">
        <f>'4 Mix Design'!I63</f>
        <v>GRAD. ERROR</v>
      </c>
      <c r="N25" s="506" t="e">
        <f t="shared" si="0"/>
        <v>#VALUE!</v>
      </c>
    </row>
    <row r="26" spans="2:14" ht="16.2" thickBot="1" x14ac:dyDescent="0.35">
      <c r="L26" s="507" t="s">
        <v>46</v>
      </c>
      <c r="M26" s="513" t="str">
        <f>'4 Mix Design'!I64</f>
        <v>GRAD. ERROR</v>
      </c>
      <c r="N26" s="512" t="e">
        <f t="shared" si="0"/>
        <v>#VALUE!</v>
      </c>
    </row>
    <row r="30" spans="2:14" x14ac:dyDescent="0.3">
      <c r="B30" s="441"/>
      <c r="C30" s="439"/>
    </row>
    <row r="31" spans="2:14" x14ac:dyDescent="0.3">
      <c r="C31" s="439"/>
    </row>
    <row r="42" spans="1:13" ht="16.2" thickBot="1" x14ac:dyDescent="0.35"/>
    <row r="43" spans="1:13" ht="16.2" thickBot="1" x14ac:dyDescent="0.35">
      <c r="A43" s="767" t="s">
        <v>272</v>
      </c>
      <c r="B43" s="768"/>
      <c r="C43" s="768"/>
      <c r="D43" s="1147"/>
      <c r="E43" s="1055" t="s">
        <v>225</v>
      </c>
      <c r="F43" s="1055"/>
      <c r="G43" s="1055"/>
      <c r="H43" s="1055"/>
      <c r="I43" s="1055"/>
      <c r="J43" s="1055"/>
      <c r="K43" s="1055"/>
      <c r="L43" s="1055"/>
      <c r="M43" s="1050"/>
    </row>
    <row r="44" spans="1:13" ht="16.2" thickBot="1" x14ac:dyDescent="0.35">
      <c r="A44" s="779" t="s">
        <v>54</v>
      </c>
      <c r="B44" s="775" t="s">
        <v>55</v>
      </c>
      <c r="C44" s="775" t="s">
        <v>169</v>
      </c>
      <c r="D44" s="763" t="s">
        <v>50</v>
      </c>
      <c r="E44" s="1123" t="s">
        <v>218</v>
      </c>
      <c r="F44" s="1124"/>
      <c r="G44" s="634" t="s">
        <v>25</v>
      </c>
      <c r="H44" s="1125" t="s">
        <v>47</v>
      </c>
      <c r="I44" s="1125"/>
      <c r="J44" s="1126" t="s">
        <v>48</v>
      </c>
      <c r="K44" s="1127"/>
      <c r="L44" s="279" t="s">
        <v>49</v>
      </c>
      <c r="M44" s="318" t="s">
        <v>50</v>
      </c>
    </row>
    <row r="45" spans="1:13" ht="29.4" customHeight="1" thickBot="1" x14ac:dyDescent="0.35">
      <c r="A45" s="781"/>
      <c r="B45" s="1107"/>
      <c r="C45" s="1107"/>
      <c r="D45" s="764"/>
      <c r="E45" s="1128"/>
      <c r="F45" s="1129"/>
      <c r="G45" s="1134" t="s">
        <v>30</v>
      </c>
      <c r="H45" s="1136" t="s">
        <v>51</v>
      </c>
      <c r="I45" s="1134"/>
      <c r="J45" s="1136" t="s">
        <v>214</v>
      </c>
      <c r="K45" s="1134"/>
      <c r="L45" s="1138" t="str">
        <f>IF(E45="","ERROR",SUM(C55:C58))</f>
        <v>ERROR</v>
      </c>
      <c r="M45" s="777" t="str">
        <f>IF(E45="","ERROR",IF(E45="Slip-Form",IF((AND(L45&gt;=24,L45&lt;=34)),"Pass","Fail"),IF(AND(L45&gt;=24,L45&lt;=40),"Pass","Fail")))</f>
        <v>ERROR</v>
      </c>
    </row>
    <row r="46" spans="1:13" ht="16.2" customHeight="1" thickBot="1" x14ac:dyDescent="0.35">
      <c r="A46" s="635" t="s">
        <v>34</v>
      </c>
      <c r="B46" s="636">
        <v>0</v>
      </c>
      <c r="C46" s="637" t="e">
        <f>'5 Agg Analysis'!AJ26</f>
        <v>#DIV/0!</v>
      </c>
      <c r="D46" s="485" t="e">
        <f>IF(C46=0,"Pass","Fail")</f>
        <v>#DIV/0!</v>
      </c>
      <c r="E46" s="1130"/>
      <c r="F46" s="1131"/>
      <c r="G46" s="1135"/>
      <c r="H46" s="1137"/>
      <c r="I46" s="1135"/>
      <c r="J46" s="1126" t="s">
        <v>239</v>
      </c>
      <c r="K46" s="1127"/>
      <c r="L46" s="1139"/>
      <c r="M46" s="778"/>
    </row>
    <row r="47" spans="1:13" ht="16.2" customHeight="1" thickBot="1" x14ac:dyDescent="0.35">
      <c r="A47" s="638" t="s">
        <v>35</v>
      </c>
      <c r="B47" s="639" t="s">
        <v>56</v>
      </c>
      <c r="C47" s="640" t="e">
        <f>'5 Agg Analysis'!AJ27</f>
        <v>#DIV/0!</v>
      </c>
      <c r="D47" s="485" t="e">
        <f>IF((AND(C47&gt;=0,C47&lt;=5)),"Pass","Fail")</f>
        <v>#DIV/0!</v>
      </c>
      <c r="E47" s="1132"/>
      <c r="F47" s="1133"/>
      <c r="G47" s="279" t="s">
        <v>29</v>
      </c>
      <c r="H47" s="1137" t="s">
        <v>52</v>
      </c>
      <c r="I47" s="1135"/>
      <c r="J47" s="1137" t="s">
        <v>53</v>
      </c>
      <c r="K47" s="1135"/>
      <c r="L47" s="641" t="str">
        <f>IF(E45="","ERROR",SUM(C53:C55))</f>
        <v>ERROR</v>
      </c>
      <c r="M47" s="430" t="str">
        <f>IF(E45="","ERROR",IF(L47&gt;15,"Pass","Fail"))</f>
        <v>ERROR</v>
      </c>
    </row>
    <row r="48" spans="1:13" x14ac:dyDescent="0.3">
      <c r="A48" s="638" t="s">
        <v>36</v>
      </c>
      <c r="B48" s="639" t="s">
        <v>57</v>
      </c>
      <c r="C48" s="640" t="e">
        <f>'5 Agg Analysis'!AJ28</f>
        <v>#DIV/0!</v>
      </c>
      <c r="D48" s="485" t="e">
        <f>IF((AND(C48&gt;=0,C48&lt;=16)),"Pass","Fail")</f>
        <v>#DIV/0!</v>
      </c>
      <c r="E48" s="401"/>
      <c r="F48" s="401"/>
      <c r="G48" s="401"/>
      <c r="H48" s="401"/>
      <c r="I48" s="401"/>
      <c r="J48" s="401"/>
    </row>
    <row r="49" spans="1:10" x14ac:dyDescent="0.3">
      <c r="A49" s="638" t="s">
        <v>37</v>
      </c>
      <c r="B49" s="639" t="s">
        <v>58</v>
      </c>
      <c r="C49" s="640" t="e">
        <f>'5 Agg Analysis'!AJ29</f>
        <v>#DIV/0!</v>
      </c>
      <c r="D49" s="485" t="e">
        <f>IF((AND(C49&gt;=0,C49&lt;=20)),"Pass","Fail")</f>
        <v>#DIV/0!</v>
      </c>
      <c r="E49" s="401"/>
      <c r="F49" s="401"/>
      <c r="G49" s="401"/>
      <c r="H49" s="401"/>
      <c r="I49" s="401"/>
      <c r="J49" s="401"/>
    </row>
    <row r="50" spans="1:10" x14ac:dyDescent="0.3">
      <c r="A50" s="638" t="s">
        <v>38</v>
      </c>
      <c r="B50" s="639" t="s">
        <v>59</v>
      </c>
      <c r="C50" s="640" t="e">
        <f>'5 Agg Analysis'!AJ30</f>
        <v>#DIV/0!</v>
      </c>
      <c r="D50" s="485" t="e">
        <f>IF((AND(C50&gt;=4,C50&lt;=20)),"Pass","Fail")</f>
        <v>#DIV/0!</v>
      </c>
      <c r="E50" s="401"/>
      <c r="F50" s="401"/>
      <c r="G50" s="401"/>
      <c r="H50" s="401"/>
      <c r="I50" s="401"/>
      <c r="J50" s="401"/>
    </row>
    <row r="51" spans="1:10" x14ac:dyDescent="0.3">
      <c r="A51" s="638" t="s">
        <v>39</v>
      </c>
      <c r="B51" s="639" t="s">
        <v>59</v>
      </c>
      <c r="C51" s="640" t="e">
        <f>'5 Agg Analysis'!AJ31</f>
        <v>#DIV/0!</v>
      </c>
      <c r="D51" s="485" t="e">
        <f>IF((AND(C51&gt;=4,C51&lt;=20)),"Pass","Fail")</f>
        <v>#DIV/0!</v>
      </c>
      <c r="E51" s="401"/>
      <c r="F51" s="401"/>
      <c r="G51" s="401"/>
      <c r="H51" s="401"/>
      <c r="I51" s="401"/>
      <c r="J51" s="401"/>
    </row>
    <row r="52" spans="1:10" x14ac:dyDescent="0.3">
      <c r="A52" s="638" t="s">
        <v>40</v>
      </c>
      <c r="B52" s="639" t="s">
        <v>59</v>
      </c>
      <c r="C52" s="640" t="e">
        <f>'5 Agg Analysis'!AJ32</f>
        <v>#DIV/0!</v>
      </c>
      <c r="D52" s="485" t="e">
        <f>IF((AND(C52&gt;=4,C52&lt;=20)),"Pass","Fail")</f>
        <v>#DIV/0!</v>
      </c>
      <c r="E52" s="401"/>
      <c r="F52" s="401"/>
      <c r="G52" s="401"/>
      <c r="H52" s="401"/>
      <c r="I52" s="401"/>
      <c r="J52" s="401"/>
    </row>
    <row r="53" spans="1:10" x14ac:dyDescent="0.3">
      <c r="A53" s="638" t="s">
        <v>41</v>
      </c>
      <c r="B53" s="639" t="s">
        <v>60</v>
      </c>
      <c r="C53" s="640" t="e">
        <f>'5 Agg Analysis'!AJ33</f>
        <v>#DIV/0!</v>
      </c>
      <c r="D53" s="485" t="e">
        <f>IF((AND(C53&gt;=0,C53&lt;=12)),"Pass","Fail")</f>
        <v>#DIV/0!</v>
      </c>
      <c r="E53" s="401"/>
      <c r="F53" s="401"/>
      <c r="G53" s="401"/>
      <c r="H53" s="401"/>
      <c r="I53" s="401"/>
      <c r="J53" s="401"/>
    </row>
    <row r="54" spans="1:10" x14ac:dyDescent="0.3">
      <c r="A54" s="638" t="s">
        <v>42</v>
      </c>
      <c r="B54" s="639" t="s">
        <v>60</v>
      </c>
      <c r="C54" s="640" t="e">
        <f>'5 Agg Analysis'!AJ34</f>
        <v>#DIV/0!</v>
      </c>
      <c r="D54" s="485" t="e">
        <f>IF((AND(C54&gt;=0,C54&lt;=12)),"Pass","Fail")</f>
        <v>#DIV/0!</v>
      </c>
      <c r="E54" s="401"/>
      <c r="F54" s="401"/>
      <c r="G54" s="401"/>
      <c r="H54" s="401"/>
      <c r="I54" s="401"/>
      <c r="J54" s="401"/>
    </row>
    <row r="55" spans="1:10" x14ac:dyDescent="0.3">
      <c r="A55" s="638" t="s">
        <v>43</v>
      </c>
      <c r="B55" s="639" t="s">
        <v>59</v>
      </c>
      <c r="C55" s="640" t="e">
        <f>'5 Agg Analysis'!AJ35</f>
        <v>#DIV/0!</v>
      </c>
      <c r="D55" s="485" t="e">
        <f>IF((AND(C55&gt;=4,C55&lt;=20)),"Pass","Fail")</f>
        <v>#DIV/0!</v>
      </c>
      <c r="E55" s="401"/>
      <c r="F55" s="401"/>
      <c r="G55" s="401"/>
      <c r="H55" s="401"/>
      <c r="I55" s="401"/>
      <c r="J55" s="401"/>
    </row>
    <row r="56" spans="1:10" x14ac:dyDescent="0.3">
      <c r="A56" s="638" t="s">
        <v>44</v>
      </c>
      <c r="B56" s="639" t="s">
        <v>59</v>
      </c>
      <c r="C56" s="640" t="e">
        <f>'5 Agg Analysis'!AJ36</f>
        <v>#DIV/0!</v>
      </c>
      <c r="D56" s="485" t="e">
        <f>IF((AND(C56&gt;=4,C56&lt;=20)),"Pass","Fail")</f>
        <v>#DIV/0!</v>
      </c>
      <c r="E56" s="401"/>
      <c r="F56" s="401"/>
      <c r="G56" s="401"/>
      <c r="H56" s="401"/>
      <c r="I56" s="401"/>
      <c r="J56" s="401"/>
    </row>
    <row r="57" spans="1:10" x14ac:dyDescent="0.3">
      <c r="A57" s="638" t="s">
        <v>45</v>
      </c>
      <c r="B57" s="639" t="s">
        <v>61</v>
      </c>
      <c r="C57" s="640" t="e">
        <f>'5 Agg Analysis'!AJ37</f>
        <v>#DIV/0!</v>
      </c>
      <c r="D57" s="485" t="e">
        <f>IF((AND(C57&gt;=0,C57&lt;=10)),"Pass","Fail")</f>
        <v>#DIV/0!</v>
      </c>
      <c r="E57" s="401"/>
      <c r="F57" s="401"/>
      <c r="G57" s="401"/>
      <c r="H57" s="401"/>
      <c r="I57" s="401"/>
      <c r="J57" s="401"/>
    </row>
    <row r="58" spans="1:10" ht="16.2" thickBot="1" x14ac:dyDescent="0.35">
      <c r="A58" s="642" t="s">
        <v>46</v>
      </c>
      <c r="B58" s="643" t="s">
        <v>182</v>
      </c>
      <c r="C58" s="644" t="e">
        <f>'5 Agg Analysis'!AJ38</f>
        <v>#DIV/0!</v>
      </c>
      <c r="D58" s="578" t="e">
        <f>IF((AND(C58&gt;=0,C58&lt;=5)),"Pass","Fail")</f>
        <v>#DIV/0!</v>
      </c>
      <c r="E58" s="401"/>
      <c r="F58" s="401"/>
      <c r="G58" s="401"/>
      <c r="H58" s="401"/>
      <c r="I58" s="401"/>
      <c r="J58" s="401"/>
    </row>
    <row r="59" spans="1:10" x14ac:dyDescent="0.3">
      <c r="E59" s="401"/>
      <c r="F59" s="401"/>
      <c r="G59" s="401"/>
      <c r="H59" s="401"/>
      <c r="I59" s="401"/>
      <c r="J59" s="401"/>
    </row>
    <row r="60" spans="1:10" x14ac:dyDescent="0.3">
      <c r="E60" s="401"/>
      <c r="F60" s="401"/>
      <c r="G60" s="401"/>
      <c r="H60" s="401"/>
      <c r="I60" s="401"/>
      <c r="J60" s="401"/>
    </row>
    <row r="61" spans="1:10" x14ac:dyDescent="0.3">
      <c r="C61" s="401"/>
      <c r="D61" s="401"/>
      <c r="E61" s="401"/>
      <c r="F61" s="401"/>
      <c r="G61" s="401"/>
      <c r="H61" s="401"/>
      <c r="I61" s="401"/>
      <c r="J61" s="401"/>
    </row>
    <row r="74" spans="5:6" x14ac:dyDescent="0.3">
      <c r="E74" s="434"/>
      <c r="F74" s="435"/>
    </row>
    <row r="75" spans="5:6" x14ac:dyDescent="0.3">
      <c r="E75" s="434"/>
      <c r="F75" s="435"/>
    </row>
    <row r="76" spans="5:6" x14ac:dyDescent="0.3">
      <c r="E76" s="434"/>
      <c r="F76" s="435"/>
    </row>
    <row r="77" spans="5:6" x14ac:dyDescent="0.3">
      <c r="E77" s="434"/>
      <c r="F77" s="435"/>
    </row>
    <row r="78" spans="5:6" x14ac:dyDescent="0.3">
      <c r="E78" s="434"/>
      <c r="F78" s="435"/>
    </row>
    <row r="79" spans="5:6" x14ac:dyDescent="0.3">
      <c r="E79" s="434"/>
      <c r="F79" s="435"/>
    </row>
    <row r="80" spans="5:6" x14ac:dyDescent="0.3">
      <c r="E80" s="434"/>
      <c r="F80" s="435"/>
    </row>
    <row r="85" spans="2:4" x14ac:dyDescent="0.3">
      <c r="B85" s="436"/>
      <c r="C85" s="437"/>
      <c r="D85" s="437"/>
    </row>
    <row r="86" spans="2:4" x14ac:dyDescent="0.3">
      <c r="B86" s="436"/>
      <c r="C86" s="437"/>
      <c r="D86" s="437"/>
    </row>
    <row r="87" spans="2:4" x14ac:dyDescent="0.3">
      <c r="B87" s="436"/>
      <c r="C87" s="437"/>
      <c r="D87" s="437"/>
    </row>
    <row r="88" spans="2:4" x14ac:dyDescent="0.3">
      <c r="B88" s="436"/>
      <c r="C88" s="437"/>
      <c r="D88" s="437"/>
    </row>
    <row r="89" spans="2:4" x14ac:dyDescent="0.3">
      <c r="B89" s="436"/>
      <c r="C89" s="437"/>
      <c r="D89" s="437"/>
    </row>
    <row r="90" spans="2:4" x14ac:dyDescent="0.3">
      <c r="B90" s="436"/>
      <c r="C90" s="437"/>
      <c r="D90" s="437"/>
    </row>
    <row r="91" spans="2:4" x14ac:dyDescent="0.3">
      <c r="B91" s="436"/>
      <c r="C91" s="438"/>
      <c r="D91" s="439"/>
    </row>
    <row r="92" spans="2:4" x14ac:dyDescent="0.3">
      <c r="C92" s="438"/>
      <c r="D92" s="439"/>
    </row>
    <row r="93" spans="2:4" x14ac:dyDescent="0.3">
      <c r="C93" s="438"/>
      <c r="D93" s="439"/>
    </row>
    <row r="94" spans="2:4" x14ac:dyDescent="0.3">
      <c r="C94" s="438"/>
      <c r="D94" s="439"/>
    </row>
    <row r="95" spans="2:4" x14ac:dyDescent="0.3">
      <c r="C95" s="438"/>
      <c r="D95" s="439"/>
    </row>
    <row r="96" spans="2:4" x14ac:dyDescent="0.3">
      <c r="C96" s="438"/>
      <c r="D96" s="439"/>
    </row>
    <row r="97" spans="3:20" x14ac:dyDescent="0.3">
      <c r="C97" s="438"/>
      <c r="D97" s="439"/>
    </row>
    <row r="98" spans="3:20" x14ac:dyDescent="0.3">
      <c r="C98" s="438"/>
      <c r="D98" s="439"/>
    </row>
    <row r="99" spans="3:20" x14ac:dyDescent="0.3">
      <c r="C99" s="438"/>
      <c r="D99" s="439"/>
    </row>
    <row r="100" spans="3:20" x14ac:dyDescent="0.3">
      <c r="C100" s="438"/>
      <c r="D100" s="439"/>
    </row>
    <row r="102" spans="3:20" x14ac:dyDescent="0.3">
      <c r="E102" s="440"/>
    </row>
    <row r="103" spans="3:20" x14ac:dyDescent="0.3">
      <c r="D103" s="441"/>
      <c r="E103" s="440"/>
      <c r="S103" s="440"/>
      <c r="T103" s="441"/>
    </row>
    <row r="104" spans="3:20" x14ac:dyDescent="0.3">
      <c r="D104" s="441"/>
      <c r="E104" s="440"/>
      <c r="S104" s="440"/>
      <c r="T104" s="441"/>
    </row>
    <row r="105" spans="3:20" x14ac:dyDescent="0.3">
      <c r="D105" s="441"/>
      <c r="E105" s="440"/>
      <c r="S105" s="440"/>
      <c r="T105" s="441"/>
    </row>
    <row r="106" spans="3:20" x14ac:dyDescent="0.3">
      <c r="D106" s="441"/>
      <c r="E106" s="440"/>
      <c r="S106" s="440"/>
      <c r="T106" s="441"/>
    </row>
    <row r="107" spans="3:20" x14ac:dyDescent="0.3">
      <c r="D107" s="441"/>
      <c r="E107" s="440"/>
      <c r="S107" s="440"/>
      <c r="T107" s="441"/>
    </row>
    <row r="108" spans="3:20" x14ac:dyDescent="0.3">
      <c r="D108" s="441"/>
      <c r="E108" s="440"/>
      <c r="S108" s="440"/>
      <c r="T108" s="441"/>
    </row>
    <row r="109" spans="3:20" x14ac:dyDescent="0.3">
      <c r="D109" s="441"/>
      <c r="S109" s="440"/>
      <c r="T109" s="441"/>
    </row>
    <row r="110" spans="3:20" x14ac:dyDescent="0.3">
      <c r="D110" s="441"/>
    </row>
    <row r="111" spans="3:20" x14ac:dyDescent="0.3">
      <c r="D111" s="441"/>
    </row>
    <row r="112" spans="3:20" x14ac:dyDescent="0.3">
      <c r="D112" s="441"/>
      <c r="R112" s="442"/>
      <c r="S112" s="442"/>
    </row>
    <row r="113" spans="4:26" x14ac:dyDescent="0.3">
      <c r="D113" s="441"/>
      <c r="R113" s="329"/>
      <c r="S113" s="329"/>
    </row>
    <row r="114" spans="4:26" x14ac:dyDescent="0.3">
      <c r="D114" s="441"/>
    </row>
    <row r="115" spans="4:26" x14ac:dyDescent="0.3">
      <c r="D115" s="441"/>
    </row>
    <row r="121" spans="4:26" x14ac:dyDescent="0.3">
      <c r="X121" s="271"/>
      <c r="Y121" s="271"/>
      <c r="Z121" s="271"/>
    </row>
    <row r="122" spans="4:26" x14ac:dyDescent="0.3">
      <c r="X122" s="271"/>
      <c r="Y122" s="271"/>
      <c r="Z122" s="271"/>
    </row>
    <row r="123" spans="4:26" x14ac:dyDescent="0.3">
      <c r="X123" s="271"/>
      <c r="Y123" s="271"/>
      <c r="Z123" s="271"/>
    </row>
    <row r="124" spans="4:26" x14ac:dyDescent="0.3">
      <c r="X124" s="271"/>
      <c r="Y124" s="271"/>
      <c r="Z124" s="271"/>
    </row>
    <row r="125" spans="4:26" x14ac:dyDescent="0.3">
      <c r="X125" s="271"/>
      <c r="Y125" s="271"/>
      <c r="Z125" s="271"/>
    </row>
    <row r="126" spans="4:26" x14ac:dyDescent="0.3">
      <c r="X126" s="271"/>
      <c r="Y126" s="271"/>
      <c r="Z126" s="271"/>
    </row>
    <row r="127" spans="4:26" x14ac:dyDescent="0.3">
      <c r="X127" s="271"/>
      <c r="Y127" s="271"/>
      <c r="Z127" s="271"/>
    </row>
    <row r="128" spans="4:26" x14ac:dyDescent="0.3">
      <c r="X128" s="271"/>
      <c r="Y128" s="271"/>
      <c r="Z128" s="271"/>
    </row>
    <row r="129" spans="5:26" x14ac:dyDescent="0.3">
      <c r="X129" s="271"/>
      <c r="Y129" s="271"/>
      <c r="Z129" s="271"/>
    </row>
    <row r="130" spans="5:26" x14ac:dyDescent="0.3">
      <c r="X130" s="271"/>
      <c r="Y130" s="271"/>
      <c r="Z130" s="271"/>
    </row>
    <row r="131" spans="5:26" x14ac:dyDescent="0.3">
      <c r="X131" s="271"/>
      <c r="Y131" s="271"/>
      <c r="Z131" s="271"/>
    </row>
    <row r="132" spans="5:26" x14ac:dyDescent="0.3">
      <c r="X132" s="271"/>
      <c r="Y132" s="271"/>
      <c r="Z132" s="271"/>
    </row>
    <row r="133" spans="5:26" x14ac:dyDescent="0.3">
      <c r="E133" s="439"/>
      <c r="X133" s="271"/>
      <c r="Y133" s="271"/>
      <c r="Z133" s="271"/>
    </row>
    <row r="134" spans="5:26" x14ac:dyDescent="0.3">
      <c r="E134" s="439"/>
      <c r="X134" s="271"/>
      <c r="Y134" s="271"/>
      <c r="Z134" s="271"/>
    </row>
    <row r="135" spans="5:26" x14ac:dyDescent="0.3">
      <c r="E135" s="439"/>
      <c r="X135" s="271"/>
      <c r="Y135" s="271"/>
      <c r="Z135" s="271"/>
    </row>
    <row r="136" spans="5:26" x14ac:dyDescent="0.3">
      <c r="E136" s="439"/>
      <c r="X136" s="271"/>
      <c r="Y136" s="271"/>
      <c r="Z136" s="271"/>
    </row>
    <row r="137" spans="5:26" x14ac:dyDescent="0.3">
      <c r="E137" s="439"/>
      <c r="X137" s="271"/>
      <c r="Y137" s="271"/>
      <c r="Z137" s="271"/>
    </row>
    <row r="138" spans="5:26" x14ac:dyDescent="0.3">
      <c r="E138" s="439"/>
      <c r="X138" s="271"/>
      <c r="Y138" s="271"/>
      <c r="Z138" s="271"/>
    </row>
    <row r="139" spans="5:26" x14ac:dyDescent="0.3">
      <c r="E139" s="439"/>
      <c r="X139" s="271"/>
      <c r="Y139" s="271"/>
      <c r="Z139" s="271"/>
    </row>
    <row r="140" spans="5:26" x14ac:dyDescent="0.3">
      <c r="E140" s="439"/>
    </row>
    <row r="141" spans="5:26" x14ac:dyDescent="0.3">
      <c r="E141" s="439"/>
    </row>
    <row r="142" spans="5:26" x14ac:dyDescent="0.3">
      <c r="E142" s="439"/>
    </row>
    <row r="143" spans="5:26" x14ac:dyDescent="0.3">
      <c r="E143" s="439"/>
    </row>
  </sheetData>
  <sheetProtection selectLockedCells="1"/>
  <mergeCells count="29">
    <mergeCell ref="O9:P9"/>
    <mergeCell ref="L9:N9"/>
    <mergeCell ref="A43:D43"/>
    <mergeCell ref="M11:M13"/>
    <mergeCell ref="N11:N13"/>
    <mergeCell ref="M10:N10"/>
    <mergeCell ref="L10:L13"/>
    <mergeCell ref="E43:M43"/>
    <mergeCell ref="G3:J3"/>
    <mergeCell ref="B4:C4"/>
    <mergeCell ref="B5:E7"/>
    <mergeCell ref="A1:E1"/>
    <mergeCell ref="F1:I1"/>
    <mergeCell ref="A44:A45"/>
    <mergeCell ref="B44:B45"/>
    <mergeCell ref="C44:C45"/>
    <mergeCell ref="D44:D45"/>
    <mergeCell ref="M45:M46"/>
    <mergeCell ref="E44:F44"/>
    <mergeCell ref="H44:I44"/>
    <mergeCell ref="J44:K44"/>
    <mergeCell ref="E45:F47"/>
    <mergeCell ref="G45:G46"/>
    <mergeCell ref="H45:I46"/>
    <mergeCell ref="J45:K45"/>
    <mergeCell ref="L45:L46"/>
    <mergeCell ref="J46:K46"/>
    <mergeCell ref="H47:I47"/>
    <mergeCell ref="J47:K47"/>
  </mergeCells>
  <conditionalFormatting sqref="C46:D58">
    <cfRule type="cellIs" dxfId="24" priority="11" operator="equal">
      <formula>"ERROR: vp/vv"</formula>
    </cfRule>
    <cfRule type="cellIs" dxfId="23" priority="12" operator="equal">
      <formula>"CM ERROR"</formula>
    </cfRule>
  </conditionalFormatting>
  <conditionalFormatting sqref="D46:D58">
    <cfRule type="containsText" dxfId="22" priority="14" stopIfTrue="1" operator="containsText" text="Fail">
      <formula>NOT(ISERROR(SEARCH("Fail",D46)))</formula>
    </cfRule>
    <cfRule type="containsText" dxfId="21" priority="15" operator="containsText" text="Pass">
      <formula>NOT(ISERROR(SEARCH("Pass",D46)))</formula>
    </cfRule>
  </conditionalFormatting>
  <conditionalFormatting sqref="E45:F47">
    <cfRule type="cellIs" dxfId="20" priority="5" operator="notEqual">
      <formula>0</formula>
    </cfRule>
    <cfRule type="cellIs" dxfId="19" priority="6" operator="equal">
      <formula>0</formula>
    </cfRule>
  </conditionalFormatting>
  <conditionalFormatting sqref="L45:M47">
    <cfRule type="cellIs" dxfId="18" priority="1" operator="equal">
      <formula>"ERROR"</formula>
    </cfRule>
  </conditionalFormatting>
  <conditionalFormatting sqref="M45">
    <cfRule type="containsText" dxfId="17" priority="7" stopIfTrue="1" operator="containsText" text="Fail">
      <formula>NOT(ISERROR(SEARCH("Fail",M45)))</formula>
    </cfRule>
    <cfRule type="containsText" dxfId="16" priority="8" operator="containsText" text="Pass">
      <formula>NOT(ISERROR(SEARCH("Pass",M45)))</formula>
    </cfRule>
  </conditionalFormatting>
  <conditionalFormatting sqref="M47">
    <cfRule type="containsText" dxfId="15" priority="9" stopIfTrue="1" operator="containsText" text="Fail">
      <formula>NOT(ISERROR(SEARCH("Fail",M47)))</formula>
    </cfRule>
    <cfRule type="containsText" dxfId="14" priority="10" operator="containsText" text="Pass">
      <formula>NOT(ISERROR(SEARCH("Pass",M47)))</formula>
    </cfRule>
  </conditionalFormatting>
  <printOptions horizontalCentered="1"/>
  <pageMargins left="0.7" right="0.7" top="0.75" bottom="0.75" header="0.3" footer="0.3"/>
  <pageSetup scale="48" orientation="landscape" r:id="rId1"/>
  <headerFooter>
    <oddFooter>&amp;L&amp;9&amp;A&amp;C&amp;9&amp;P of &amp;N&amp;R&amp;9&amp;F</oddFooter>
  </headerFooter>
  <drawing r:id="rId2"/>
  <legacyDrawing r:id="rId3"/>
  <extLst>
    <ext xmlns:x14="http://schemas.microsoft.com/office/spreadsheetml/2009/9/main" uri="{CCE6A557-97BC-4b89-ADB6-D9C93CAAB3DF}">
      <x14:dataValidations xmlns:xm="http://schemas.microsoft.com/office/excel/2006/main" count="1">
        <x14:dataValidation type="list" errorStyle="warning" showInputMessage="1" showErrorMessage="1" errorTitle="WARNING" error="Please use drop down menu to fill in the cell." xr:uid="{39B819B6-8801-4CC6-8F75-77798B78EAD3}">
          <x14:formula1>
            <xm:f>'5 Agg Analysis'!$AG$43:$AG$47</xm:f>
          </x14:formula1>
          <xm:sqref>E45:F47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25B7-93A5-4FF1-946A-108F0EF435DE}">
  <sheetPr>
    <tabColor rgb="FFFF0000"/>
  </sheetPr>
  <dimension ref="A1:AP112"/>
  <sheetViews>
    <sheetView topLeftCell="S1" zoomScale="70" zoomScaleNormal="70" workbookViewId="0">
      <selection activeCell="AO20" sqref="AO20"/>
    </sheetView>
  </sheetViews>
  <sheetFormatPr defaultColWidth="9.33203125" defaultRowHeight="15.6" x14ac:dyDescent="0.3"/>
  <cols>
    <col min="1" max="6" width="9.33203125" style="1"/>
    <col min="7" max="7" width="10.44140625" style="1" bestFit="1" customWidth="1"/>
    <col min="8" max="8" width="9.33203125" style="1"/>
    <col min="9" max="9" width="14" style="1" bestFit="1" customWidth="1"/>
    <col min="10" max="18" width="9.33203125" style="1"/>
    <col min="19" max="20" width="10.44140625" style="1" bestFit="1" customWidth="1"/>
    <col min="21" max="22" width="9.33203125" style="1"/>
    <col min="23" max="24" width="10.44140625" style="1" bestFit="1" customWidth="1"/>
    <col min="25" max="26" width="9.33203125" style="1"/>
    <col min="27" max="27" width="21.33203125" style="1" customWidth="1"/>
    <col min="28" max="30" width="15" style="1" bestFit="1" customWidth="1"/>
    <col min="31" max="31" width="16.109375" style="1" bestFit="1" customWidth="1"/>
    <col min="32" max="33" width="9.33203125" style="1"/>
    <col min="34" max="34" width="14.88671875" style="1" bestFit="1" customWidth="1"/>
    <col min="35" max="35" width="14.5546875" style="1" bestFit="1" customWidth="1"/>
    <col min="36" max="37" width="9.33203125" style="1"/>
    <col min="38" max="38" width="11.44140625" style="1" customWidth="1"/>
    <col min="39" max="40" width="9.33203125" style="1"/>
    <col min="41" max="41" width="10.109375" style="1" customWidth="1"/>
    <col min="42" max="16384" width="9.33203125" style="1"/>
  </cols>
  <sheetData>
    <row r="1" spans="1:42" ht="16.2" thickBot="1" x14ac:dyDescent="0.35">
      <c r="A1" s="1108" t="s">
        <v>389</v>
      </c>
      <c r="B1" s="1109"/>
      <c r="C1" s="1109"/>
      <c r="D1" s="1109"/>
      <c r="E1" s="1109"/>
      <c r="F1" s="1109"/>
      <c r="G1" s="1109"/>
      <c r="H1" s="1110" t="s">
        <v>387</v>
      </c>
      <c r="I1" s="1110"/>
      <c r="J1" s="1110"/>
      <c r="K1" s="1111"/>
    </row>
    <row r="2" spans="1:42" x14ac:dyDescent="0.3">
      <c r="A2" s="521" t="str">
        <f>Directions!A2</f>
        <v>DT2220     07/2022</v>
      </c>
      <c r="B2" s="522"/>
      <c r="C2" s="523"/>
      <c r="D2" s="523"/>
      <c r="E2" s="523"/>
      <c r="F2" s="523"/>
      <c r="G2" s="523"/>
      <c r="H2" s="523"/>
      <c r="K2" s="1157" t="s">
        <v>213</v>
      </c>
      <c r="L2" s="1157"/>
      <c r="M2" s="1157"/>
      <c r="N2" s="1157"/>
      <c r="O2" s="1157"/>
      <c r="P2" s="1157"/>
      <c r="Q2" s="1157"/>
      <c r="R2" s="1157"/>
      <c r="S2" s="1157"/>
      <c r="T2" s="1157"/>
      <c r="U2" s="1157"/>
      <c r="V2" s="1157"/>
      <c r="W2" s="1157"/>
      <c r="X2" s="1157"/>
      <c r="Y2" s="1157"/>
      <c r="Z2" s="1157"/>
    </row>
    <row r="3" spans="1:42" x14ac:dyDescent="0.3">
      <c r="B3" s="4" t="s">
        <v>80</v>
      </c>
      <c r="K3" s="1157"/>
      <c r="L3" s="1157"/>
      <c r="M3" s="1157"/>
      <c r="N3" s="1157"/>
      <c r="O3" s="1157"/>
      <c r="P3" s="1157"/>
      <c r="Q3" s="1157"/>
      <c r="R3" s="1157"/>
      <c r="S3" s="1157"/>
      <c r="T3" s="1157"/>
      <c r="U3" s="1157"/>
      <c r="V3" s="1157"/>
      <c r="W3" s="1157"/>
      <c r="X3" s="1157"/>
      <c r="Y3" s="1157"/>
      <c r="Z3" s="1157"/>
    </row>
    <row r="4" spans="1:42" x14ac:dyDescent="0.3">
      <c r="B4" s="53"/>
      <c r="C4" s="54" t="s">
        <v>29</v>
      </c>
      <c r="D4" s="54" t="s">
        <v>30</v>
      </c>
      <c r="E4" s="54" t="s">
        <v>81</v>
      </c>
      <c r="F4" s="54"/>
      <c r="G4" s="55" t="s">
        <v>82</v>
      </c>
      <c r="H4" s="4"/>
      <c r="K4" s="1157"/>
      <c r="L4" s="1157"/>
      <c r="M4" s="1157"/>
      <c r="N4" s="1157"/>
      <c r="O4" s="1157"/>
      <c r="P4" s="1157"/>
      <c r="Q4" s="1157"/>
      <c r="R4" s="1157"/>
      <c r="S4" s="1157"/>
      <c r="T4" s="1157"/>
      <c r="U4" s="1157"/>
      <c r="V4" s="1157"/>
      <c r="W4" s="1157"/>
      <c r="X4" s="1157"/>
      <c r="Y4" s="1157"/>
      <c r="Z4" s="1157"/>
    </row>
    <row r="5" spans="1:42" x14ac:dyDescent="0.3">
      <c r="B5" s="56" t="s">
        <v>33</v>
      </c>
      <c r="C5" s="57" t="e">
        <f>'2 Aggregate System'!#REF!</f>
        <v>#REF!</v>
      </c>
      <c r="D5" s="57" t="e">
        <f>'2 Aggregate System'!#REF!</f>
        <v>#REF!</v>
      </c>
      <c r="E5" s="57">
        <f>'2 Aggregate System'!G24</f>
        <v>0</v>
      </c>
      <c r="F5" s="58"/>
      <c r="G5" s="59" t="e">
        <f>SUM(C5:E5)</f>
        <v>#REF!</v>
      </c>
      <c r="K5" s="1157"/>
      <c r="L5" s="1157"/>
      <c r="M5" s="1157"/>
      <c r="N5" s="1157"/>
      <c r="O5" s="1157"/>
      <c r="P5" s="1157"/>
      <c r="Q5" s="1157"/>
      <c r="R5" s="1157"/>
      <c r="S5" s="1157"/>
      <c r="T5" s="1157"/>
      <c r="U5" s="1157"/>
      <c r="V5" s="1157"/>
      <c r="W5" s="1157"/>
      <c r="X5" s="1157"/>
      <c r="Y5" s="1157"/>
      <c r="Z5" s="1157"/>
    </row>
    <row r="6" spans="1:42" ht="16.2" thickBot="1" x14ac:dyDescent="0.35">
      <c r="O6" s="5" t="e">
        <f>'2 Aggregate System'!#REF!</f>
        <v>#REF!</v>
      </c>
      <c r="AH6" s="1148" t="s">
        <v>496</v>
      </c>
      <c r="AI6" s="1148"/>
      <c r="AJ6" s="1148"/>
      <c r="AK6" s="1148"/>
      <c r="AM6" s="1148" t="s">
        <v>499</v>
      </c>
      <c r="AN6" s="1148"/>
      <c r="AO6" s="1148"/>
      <c r="AP6" s="1148"/>
    </row>
    <row r="7" spans="1:42" ht="47.4" thickBot="1" x14ac:dyDescent="0.35">
      <c r="B7" s="60"/>
      <c r="C7" s="61" t="str">
        <f>'5 Agg Analysis'!B24</f>
        <v>Sieve:</v>
      </c>
      <c r="D7" s="61" t="str">
        <f>'5 Agg Analysis'!C24</f>
        <v>mm</v>
      </c>
      <c r="E7" s="61" t="str">
        <f>'5 Agg Analysis'!D24</f>
        <v>^45</v>
      </c>
      <c r="F7" s="61" t="str">
        <f>'5 Agg Analysis'!E24</f>
        <v>Mixture</v>
      </c>
      <c r="G7" s="61" t="s">
        <v>83</v>
      </c>
      <c r="H7" s="62" t="s">
        <v>84</v>
      </c>
      <c r="I7" s="52"/>
      <c r="N7" s="52">
        <v>0.75</v>
      </c>
      <c r="O7" s="52">
        <v>1</v>
      </c>
      <c r="P7" s="52">
        <v>1.5</v>
      </c>
      <c r="AB7" s="1153" t="s">
        <v>196</v>
      </c>
      <c r="AC7" s="1154"/>
      <c r="AD7" s="1154"/>
      <c r="AE7" s="1154"/>
      <c r="AF7" s="1155"/>
      <c r="AH7" s="1149" t="s">
        <v>197</v>
      </c>
      <c r="AI7" s="1149"/>
      <c r="AJ7" s="1150" t="s">
        <v>236</v>
      </c>
      <c r="AK7" s="1150"/>
      <c r="AM7" s="1149" t="s">
        <v>197</v>
      </c>
      <c r="AN7" s="1149"/>
      <c r="AO7" s="1150" t="s">
        <v>236</v>
      </c>
      <c r="AP7" s="1150"/>
    </row>
    <row r="8" spans="1:42" ht="16.2" thickBot="1" x14ac:dyDescent="0.35">
      <c r="C8" s="63"/>
      <c r="D8" s="63"/>
      <c r="E8" s="63"/>
      <c r="F8" s="63"/>
      <c r="G8" s="63"/>
      <c r="H8" s="63"/>
      <c r="I8" s="63"/>
      <c r="N8" s="52"/>
      <c r="O8" s="52"/>
      <c r="P8" s="52"/>
      <c r="AB8" s="123" t="s">
        <v>167</v>
      </c>
      <c r="AC8" s="123" t="s">
        <v>168</v>
      </c>
      <c r="AD8" s="123" t="s">
        <v>185</v>
      </c>
      <c r="AE8" s="123" t="s">
        <v>186</v>
      </c>
      <c r="AF8" s="123" t="s">
        <v>187</v>
      </c>
      <c r="AH8" s="1" t="s">
        <v>186</v>
      </c>
      <c r="AI8" s="1" t="s">
        <v>187</v>
      </c>
      <c r="AJ8" s="1" t="s">
        <v>235</v>
      </c>
      <c r="AM8" s="1" t="s">
        <v>186</v>
      </c>
      <c r="AN8" s="1" t="s">
        <v>187</v>
      </c>
      <c r="AO8" s="1" t="s">
        <v>235</v>
      </c>
    </row>
    <row r="9" spans="1:42" x14ac:dyDescent="0.3">
      <c r="C9" s="65" t="str">
        <f>'5 Agg Analysis'!B27</f>
        <v>2"</v>
      </c>
      <c r="D9" s="65">
        <f>'5 Agg Analysis'!C27</f>
        <v>50</v>
      </c>
      <c r="E9" s="66">
        <f>'5 Agg Analysis'!D27</f>
        <v>5.8148230317277987</v>
      </c>
      <c r="F9" s="67">
        <f>'5 Agg Analysis'!E27</f>
        <v>0</v>
      </c>
      <c r="G9" s="67" t="e">
        <f>HLOOKUP($O$6,$N$7:$P$21,3)</f>
        <v>#REF!</v>
      </c>
      <c r="H9" s="67" t="e">
        <f t="shared" ref="H9:H21" si="0">G9-F9</f>
        <v>#REF!</v>
      </c>
      <c r="I9" s="67" t="e">
        <f t="shared" ref="I9:I10" si="1">SIGN(H9)*H9</f>
        <v>#REF!</v>
      </c>
      <c r="N9" s="52">
        <v>100</v>
      </c>
      <c r="O9" s="52">
        <v>100</v>
      </c>
      <c r="P9" s="52">
        <v>100</v>
      </c>
      <c r="AA9" s="68" t="s">
        <v>34</v>
      </c>
      <c r="AB9" s="69">
        <f>IF('2 Aggregate System'!B26=0,0,(100-'2 Aggregate System'!B26))</f>
        <v>0</v>
      </c>
      <c r="AC9" s="69">
        <f>IF('2 Aggregate System'!C26=0,0,(100-'2 Aggregate System'!C26))</f>
        <v>0</v>
      </c>
      <c r="AD9" s="69">
        <f>IF('2 Aggregate System'!D26=0,0,(100-'2 Aggregate System'!D26))</f>
        <v>0</v>
      </c>
      <c r="AE9" s="69">
        <f>IF('2 Aggregate System'!E26=0,0,(100-'2 Aggregate System'!E26))</f>
        <v>0</v>
      </c>
      <c r="AF9" s="69">
        <f>IF('2 Aggregate System'!F26=0,0,(100-'2 Aggregate System'!F26))</f>
        <v>0</v>
      </c>
      <c r="AH9" s="6">
        <f>AE9</f>
        <v>0</v>
      </c>
      <c r="AI9" s="6">
        <f>AF9</f>
        <v>0</v>
      </c>
      <c r="AJ9" s="6" t="e">
        <f>(($AC$30/SUM($AC$30:$AC$31))*AE9+($AC$31/SUM($AC$30:$AC$31)*AF9))</f>
        <v>#DIV/0!</v>
      </c>
      <c r="AK9" s="6" t="e">
        <f>AJ9</f>
        <v>#DIV/0!</v>
      </c>
      <c r="AM9" s="6">
        <f>AE9</f>
        <v>0</v>
      </c>
      <c r="AN9" s="6">
        <f>AF9</f>
        <v>0</v>
      </c>
      <c r="AO9" s="6" t="e">
        <f>AE9*($AC$94/SUM($AC$94:$AC$95))+AF9*($AC$95/SUM($AC$94:$AC$95))</f>
        <v>#VALUE!</v>
      </c>
      <c r="AP9" s="6" t="e">
        <f>AO9</f>
        <v>#VALUE!</v>
      </c>
    </row>
    <row r="10" spans="1:42" x14ac:dyDescent="0.3">
      <c r="C10" s="65" t="str">
        <f>'5 Agg Analysis'!B28</f>
        <v>1-1/2"</v>
      </c>
      <c r="D10" s="65">
        <f>'5 Agg Analysis'!C28</f>
        <v>37.5</v>
      </c>
      <c r="E10" s="66">
        <f>'5 Agg Analysis'!D28</f>
        <v>5.1087431744234335</v>
      </c>
      <c r="F10" s="67">
        <f>'5 Agg Analysis'!E28</f>
        <v>0</v>
      </c>
      <c r="G10" s="67" t="e">
        <f>HLOOKUP($O$6,$N$7:$P$21,4)</f>
        <v>#REF!</v>
      </c>
      <c r="H10" s="67" t="e">
        <f t="shared" si="0"/>
        <v>#REF!</v>
      </c>
      <c r="I10" s="67" t="e">
        <f t="shared" si="1"/>
        <v>#REF!</v>
      </c>
      <c r="N10" s="52">
        <v>100</v>
      </c>
      <c r="O10" s="52">
        <v>100</v>
      </c>
      <c r="P10" s="52">
        <v>100</v>
      </c>
      <c r="AA10" s="70" t="s">
        <v>35</v>
      </c>
      <c r="AB10" s="69">
        <f>IF('2 Aggregate System'!B27=0,0,('2 Aggregate System'!B26-'2 Aggregate System'!B27))</f>
        <v>0</v>
      </c>
      <c r="AC10" s="69">
        <f>IF('2 Aggregate System'!C26=0,0,('2 Aggregate System'!C26-'2 Aggregate System'!C27))</f>
        <v>0</v>
      </c>
      <c r="AD10" s="69">
        <f>IF('2 Aggregate System'!D26=0,0,('2 Aggregate System'!D26-'2 Aggregate System'!D27))</f>
        <v>0</v>
      </c>
      <c r="AE10" s="69">
        <f>IF('2 Aggregate System'!E27=0,0,('2 Aggregate System'!E26-'2 Aggregate System'!E27))</f>
        <v>0</v>
      </c>
      <c r="AF10" s="69">
        <f>IF('2 Aggregate System'!F27=0,0,('2 Aggregate System'!F26-'2 Aggregate System'!F27))</f>
        <v>0</v>
      </c>
      <c r="AH10" s="6">
        <f>SUM(AE9:AE10)</f>
        <v>0</v>
      </c>
      <c r="AI10" s="6">
        <f>SUM(AF9:AF10)</f>
        <v>0</v>
      </c>
      <c r="AJ10" s="6" t="e">
        <f t="shared" ref="AJ10:AJ19" si="2">(($AC$30/SUM($AC$30:$AC$31))*AE10+($AC$31/SUM($AC$30:$AC$31)*AF10))</f>
        <v>#DIV/0!</v>
      </c>
      <c r="AK10" s="6" t="e">
        <f>SUM(AJ9:AJ10)</f>
        <v>#DIV/0!</v>
      </c>
      <c r="AM10" s="6">
        <f>SUM(AE9:AE10)</f>
        <v>0</v>
      </c>
      <c r="AN10" s="6">
        <f>SUM(AF9:AF10)</f>
        <v>0</v>
      </c>
      <c r="AO10" s="6" t="e">
        <f t="shared" ref="AO10:AO20" si="3">AE10*($AC$94/SUM($AC$94:$AC$95))+AF10*($AC$95/SUM($AC$94:$AC$95))</f>
        <v>#VALUE!</v>
      </c>
      <c r="AP10" s="6" t="e">
        <f>SUM(AO9:AO10)</f>
        <v>#VALUE!</v>
      </c>
    </row>
    <row r="11" spans="1:42" x14ac:dyDescent="0.3">
      <c r="C11" s="65" t="str">
        <f>'5 Agg Analysis'!B29</f>
        <v>1"</v>
      </c>
      <c r="D11" s="65">
        <f>'5 Agg Analysis'!C29</f>
        <v>25</v>
      </c>
      <c r="E11" s="66">
        <f>'5 Agg Analysis'!D29</f>
        <v>4.2566996126039234</v>
      </c>
      <c r="F11" s="67">
        <f>'5 Agg Analysis'!E29</f>
        <v>0</v>
      </c>
      <c r="G11" s="67" t="e">
        <f>HLOOKUP($O$6,$N$7:$P$21,5)</f>
        <v>#REF!</v>
      </c>
      <c r="H11" s="67" t="e">
        <f t="shared" si="0"/>
        <v>#REF!</v>
      </c>
      <c r="I11" s="67" t="e">
        <f>SIGN(H11)*H11</f>
        <v>#REF!</v>
      </c>
      <c r="N11" s="52">
        <v>100</v>
      </c>
      <c r="O11" s="71">
        <v>100</v>
      </c>
      <c r="P11" s="71">
        <f>(E11-$E$21)/($E$10-$E$21)*100</f>
        <v>82.238042728011123</v>
      </c>
      <c r="AA11" s="70" t="s">
        <v>36</v>
      </c>
      <c r="AB11" s="69">
        <f>IF('2 Aggregate System'!B28=0,0,('2 Aggregate System'!B27-'2 Aggregate System'!B28))</f>
        <v>0</v>
      </c>
      <c r="AC11" s="69">
        <f>IF('2 Aggregate System'!C27=0,0,('2 Aggregate System'!C27-'2 Aggregate System'!C28))</f>
        <v>0</v>
      </c>
      <c r="AD11" s="69">
        <f>IF('2 Aggregate System'!D27=0,0,('2 Aggregate System'!D27-'2 Aggregate System'!D28))</f>
        <v>0</v>
      </c>
      <c r="AE11" s="69">
        <f>IF('2 Aggregate System'!E28=0,0,('2 Aggregate System'!E27-'2 Aggregate System'!E28))</f>
        <v>0</v>
      </c>
      <c r="AF11" s="69">
        <f>IF('2 Aggregate System'!F28=0,0,('2 Aggregate System'!F27-'2 Aggregate System'!F28))</f>
        <v>0</v>
      </c>
      <c r="AH11" s="6">
        <f>SUM(AE9:AE11)</f>
        <v>0</v>
      </c>
      <c r="AI11" s="6">
        <f>SUM(AF9:AF11)</f>
        <v>0</v>
      </c>
      <c r="AJ11" s="6" t="e">
        <f t="shared" si="2"/>
        <v>#DIV/0!</v>
      </c>
      <c r="AK11" s="6" t="e">
        <f>SUM(AJ9:AJ11)</f>
        <v>#DIV/0!</v>
      </c>
      <c r="AM11" s="6">
        <f>SUM(AE9:AE11)</f>
        <v>0</v>
      </c>
      <c r="AN11" s="6">
        <f>SUM(AF9:AF11)</f>
        <v>0</v>
      </c>
      <c r="AO11" s="6" t="e">
        <f t="shared" si="3"/>
        <v>#VALUE!</v>
      </c>
      <c r="AP11" s="6" t="e">
        <f>SUM(AO9:AO11)</f>
        <v>#VALUE!</v>
      </c>
    </row>
    <row r="12" spans="1:42" x14ac:dyDescent="0.3">
      <c r="C12" s="65" t="str">
        <f>'5 Agg Analysis'!B30</f>
        <v>3/4"</v>
      </c>
      <c r="D12" s="65">
        <f>'5 Agg Analysis'!C30</f>
        <v>19.5</v>
      </c>
      <c r="E12" s="66">
        <f>'5 Agg Analysis'!D30</f>
        <v>3.8064100829378442</v>
      </c>
      <c r="F12" s="67">
        <f>'5 Agg Analysis'!E30</f>
        <v>0</v>
      </c>
      <c r="G12" s="67" t="e">
        <f>HLOOKUP($O$6,$N$7:$P$21,6)</f>
        <v>#REF!</v>
      </c>
      <c r="H12" s="67" t="e">
        <f t="shared" si="0"/>
        <v>#REF!</v>
      </c>
      <c r="I12" s="67" t="e">
        <f t="shared" ref="I12:I21" si="4">SIGN(H12)*H12</f>
        <v>#REF!</v>
      </c>
      <c r="N12" s="52">
        <v>100</v>
      </c>
      <c r="O12" s="71">
        <f>(E12-$E$21)/($E$11-$E$21)*100</f>
        <v>88.585730958318806</v>
      </c>
      <c r="P12" s="71">
        <f t="shared" ref="P12:P21" si="5">(E12-$E$21)/($E$10-$E$21)*100</f>
        <v>72.851171276423216</v>
      </c>
      <c r="AA12" s="70" t="s">
        <v>37</v>
      </c>
      <c r="AB12" s="69">
        <f>IF('2 Aggregate System'!B29=0,0,('2 Aggregate System'!B28-'2 Aggregate System'!B29))</f>
        <v>0</v>
      </c>
      <c r="AC12" s="69">
        <f>IF('2 Aggregate System'!C28=0,0,('2 Aggregate System'!C28-'2 Aggregate System'!C29))</f>
        <v>0</v>
      </c>
      <c r="AD12" s="69">
        <f>IF('2 Aggregate System'!D28=0,0,('2 Aggregate System'!D28-'2 Aggregate System'!D29))</f>
        <v>0</v>
      </c>
      <c r="AE12" s="69">
        <f>IF('2 Aggregate System'!E29=0,0,('2 Aggregate System'!E28-'2 Aggregate System'!E29))</f>
        <v>0</v>
      </c>
      <c r="AF12" s="69">
        <f>IF('2 Aggregate System'!F29=0,0,('2 Aggregate System'!F28-'2 Aggregate System'!F29))</f>
        <v>0</v>
      </c>
      <c r="AH12" s="6">
        <f>SUM(AE9:AE12)</f>
        <v>0</v>
      </c>
      <c r="AI12" s="6">
        <f>SUM(AF9:AF12)</f>
        <v>0</v>
      </c>
      <c r="AJ12" s="6" t="e">
        <f t="shared" si="2"/>
        <v>#DIV/0!</v>
      </c>
      <c r="AK12" s="6" t="e">
        <f>SUM(AJ9:AJ12)</f>
        <v>#DIV/0!</v>
      </c>
      <c r="AM12" s="6">
        <f>SUM(AE9:AE12)</f>
        <v>0</v>
      </c>
      <c r="AN12" s="6">
        <f>SUM(AF9:AF12)</f>
        <v>0</v>
      </c>
      <c r="AO12" s="6" t="e">
        <f t="shared" si="3"/>
        <v>#VALUE!</v>
      </c>
      <c r="AP12" s="6" t="e">
        <f>SUM(AO9:AO12)</f>
        <v>#VALUE!</v>
      </c>
    </row>
    <row r="13" spans="1:42" x14ac:dyDescent="0.3">
      <c r="C13" s="65" t="str">
        <f>'5 Agg Analysis'!B31</f>
        <v>1/2"</v>
      </c>
      <c r="D13" s="65">
        <f>'5 Agg Analysis'!C31</f>
        <v>12.5</v>
      </c>
      <c r="E13" s="66">
        <f>'5 Agg Analysis'!D31</f>
        <v>3.116086507375345</v>
      </c>
      <c r="F13" s="67">
        <f>'5 Agg Analysis'!E31</f>
        <v>0</v>
      </c>
      <c r="G13" s="67" t="e">
        <f>HLOOKUP($O$6,$N$7:$P$21,7)</f>
        <v>#REF!</v>
      </c>
      <c r="H13" s="67" t="e">
        <f t="shared" si="0"/>
        <v>#REF!</v>
      </c>
      <c r="I13" s="67" t="e">
        <f t="shared" si="4"/>
        <v>#REF!</v>
      </c>
      <c r="N13" s="71">
        <f>(E13-$E$21)/($E$12-$E$21)*100</f>
        <v>80.246448516205689</v>
      </c>
      <c r="O13" s="71">
        <f t="shared" ref="O13:O21" si="6">(E13-$E$21)/($E$11-$E$21)*100</f>
        <v>71.086902986171779</v>
      </c>
      <c r="P13" s="71">
        <f t="shared" si="5"/>
        <v>58.460477651787777</v>
      </c>
      <c r="AA13" s="70" t="s">
        <v>38</v>
      </c>
      <c r="AB13" s="69">
        <f>IF('2 Aggregate System'!B30=0,0,('2 Aggregate System'!B29-'2 Aggregate System'!B30))</f>
        <v>0</v>
      </c>
      <c r="AC13" s="69">
        <f>IF('2 Aggregate System'!C29=0,0,('2 Aggregate System'!C29-'2 Aggregate System'!C30))</f>
        <v>0</v>
      </c>
      <c r="AD13" s="69">
        <f>IF('2 Aggregate System'!D29=0,0,('2 Aggregate System'!D29-'2 Aggregate System'!D30))</f>
        <v>0</v>
      </c>
      <c r="AE13" s="69">
        <f>IF('2 Aggregate System'!E30=0,0,('2 Aggregate System'!E29-'2 Aggregate System'!E30))</f>
        <v>0</v>
      </c>
      <c r="AF13" s="69">
        <f>IF('2 Aggregate System'!F30=0,0,('2 Aggregate System'!F29-'2 Aggregate System'!F30))</f>
        <v>0</v>
      </c>
      <c r="AH13" s="6">
        <f>SUM(AE9:AE13)</f>
        <v>0</v>
      </c>
      <c r="AI13" s="6">
        <f>SUM(AF9:AF13)</f>
        <v>0</v>
      </c>
      <c r="AJ13" s="6" t="e">
        <f t="shared" si="2"/>
        <v>#DIV/0!</v>
      </c>
      <c r="AK13" s="6" t="e">
        <f>SUM(AJ9:AJ13)</f>
        <v>#DIV/0!</v>
      </c>
      <c r="AM13" s="6">
        <f>SUM(AE9:AE13)</f>
        <v>0</v>
      </c>
      <c r="AN13" s="6">
        <f>SUM(AF9:AF13)</f>
        <v>0</v>
      </c>
      <c r="AO13" s="6" t="e">
        <f t="shared" si="3"/>
        <v>#VALUE!</v>
      </c>
      <c r="AP13" s="6" t="e">
        <f>SUM(AO9:AO13)</f>
        <v>#VALUE!</v>
      </c>
    </row>
    <row r="14" spans="1:42" x14ac:dyDescent="0.3">
      <c r="C14" s="65" t="str">
        <f>'5 Agg Analysis'!B32</f>
        <v>3/8"</v>
      </c>
      <c r="D14" s="65">
        <f>'5 Agg Analysis'!C32</f>
        <v>9.5</v>
      </c>
      <c r="E14" s="66">
        <f>'5 Agg Analysis'!D32</f>
        <v>2.754074108566122</v>
      </c>
      <c r="F14" s="67">
        <f>'5 Agg Analysis'!E32</f>
        <v>0</v>
      </c>
      <c r="G14" s="67" t="e">
        <f>HLOOKUP($O$6,$N$7:$P$21,8)</f>
        <v>#REF!</v>
      </c>
      <c r="H14" s="67" t="e">
        <f t="shared" si="0"/>
        <v>#REF!</v>
      </c>
      <c r="I14" s="67" t="e">
        <f t="shared" si="4"/>
        <v>#REF!</v>
      </c>
      <c r="N14" s="71">
        <f t="shared" ref="N14:N21" si="7">(E14-$E$21)/($E$12-$E$21)*100</f>
        <v>69.887493946498353</v>
      </c>
      <c r="O14" s="71">
        <f t="shared" si="6"/>
        <v>61.910347360956365</v>
      </c>
      <c r="P14" s="71">
        <f t="shared" si="5"/>
        <v>50.913857915763408</v>
      </c>
      <c r="AA14" s="70" t="s">
        <v>39</v>
      </c>
      <c r="AB14" s="69">
        <f>IF('2 Aggregate System'!B31=0,0,('2 Aggregate System'!B30-'2 Aggregate System'!B31))</f>
        <v>0</v>
      </c>
      <c r="AC14" s="69">
        <f>IF('2 Aggregate System'!C30=0,0,('2 Aggregate System'!C30-'2 Aggregate System'!C31))</f>
        <v>0</v>
      </c>
      <c r="AD14" s="69">
        <f>IF('2 Aggregate System'!D30=0,0,('2 Aggregate System'!D30-'2 Aggregate System'!D31))</f>
        <v>0</v>
      </c>
      <c r="AE14" s="69">
        <f>IF('2 Aggregate System'!E31=0,0,('2 Aggregate System'!E30-'2 Aggregate System'!E31))</f>
        <v>0</v>
      </c>
      <c r="AF14" s="69">
        <f>IF('2 Aggregate System'!F31=0,0,('2 Aggregate System'!F30-'2 Aggregate System'!F31))</f>
        <v>0</v>
      </c>
      <c r="AH14" s="6">
        <f>SUM(AE9:AE14)</f>
        <v>0</v>
      </c>
      <c r="AI14" s="6">
        <f>SUM(AF9:AF14)</f>
        <v>0</v>
      </c>
      <c r="AJ14" s="6" t="e">
        <f t="shared" si="2"/>
        <v>#DIV/0!</v>
      </c>
      <c r="AK14" s="6" t="e">
        <f>SUM(AJ9:AJ14)</f>
        <v>#DIV/0!</v>
      </c>
      <c r="AM14" s="6">
        <f>SUM(AE9:AE14)</f>
        <v>0</v>
      </c>
      <c r="AN14" s="6">
        <f>SUM(AF9:AF14)</f>
        <v>0</v>
      </c>
      <c r="AO14" s="6" t="e">
        <f t="shared" si="3"/>
        <v>#VALUE!</v>
      </c>
      <c r="AP14" s="6" t="e">
        <f>SUM(AO9:AO14)</f>
        <v>#VALUE!</v>
      </c>
    </row>
    <row r="15" spans="1:42" x14ac:dyDescent="0.3">
      <c r="C15" s="65" t="str">
        <f>'5 Agg Analysis'!B33</f>
        <v># 4</v>
      </c>
      <c r="D15" s="65">
        <f>'5 Agg Analysis'!C33</f>
        <v>4.75</v>
      </c>
      <c r="E15" s="66">
        <f>'5 Agg Analysis'!D33</f>
        <v>2.0161002539629291</v>
      </c>
      <c r="F15" s="67">
        <f>'5 Agg Analysis'!E33</f>
        <v>0</v>
      </c>
      <c r="G15" s="67" t="e">
        <f>HLOOKUP($O$6,$N$7:$P$21,9)</f>
        <v>#REF!</v>
      </c>
      <c r="H15" s="67" t="e">
        <f t="shared" si="0"/>
        <v>#REF!</v>
      </c>
      <c r="I15" s="67" t="e">
        <f t="shared" si="4"/>
        <v>#REF!</v>
      </c>
      <c r="N15" s="71">
        <f t="shared" si="7"/>
        <v>48.770433705987244</v>
      </c>
      <c r="O15" s="71">
        <f t="shared" si="6"/>
        <v>43.203645189991093</v>
      </c>
      <c r="P15" s="71">
        <f t="shared" si="5"/>
        <v>35.529832191403202</v>
      </c>
      <c r="AA15" s="70" t="s">
        <v>40</v>
      </c>
      <c r="AB15" s="69">
        <f>IF('2 Aggregate System'!B32=0,0,('2 Aggregate System'!B31-'2 Aggregate System'!B32))</f>
        <v>0</v>
      </c>
      <c r="AC15" s="69">
        <f>IF('2 Aggregate System'!C31=0,0,('2 Aggregate System'!C31-'2 Aggregate System'!C32))</f>
        <v>0</v>
      </c>
      <c r="AD15" s="69">
        <f>IF('2 Aggregate System'!D31=0,0,('2 Aggregate System'!D31-'2 Aggregate System'!D32))</f>
        <v>0</v>
      </c>
      <c r="AE15" s="69">
        <f>IF('2 Aggregate System'!E32=0,0,('2 Aggregate System'!E31-'2 Aggregate System'!E32))</f>
        <v>0</v>
      </c>
      <c r="AF15" s="69">
        <f>IF('2 Aggregate System'!F32=0,0,('2 Aggregate System'!F31-'2 Aggregate System'!F32))</f>
        <v>0</v>
      </c>
      <c r="AH15" s="6">
        <f>SUM(AE9:AE15)</f>
        <v>0</v>
      </c>
      <c r="AI15" s="6">
        <f>SUM(AF9:AF15)</f>
        <v>0</v>
      </c>
      <c r="AJ15" s="6" t="e">
        <f>(($AC$30/SUM($AC$30:$AC$31))*AE15+($AC$31/SUM($AC$30:$AC$31)*AF15))</f>
        <v>#DIV/0!</v>
      </c>
      <c r="AK15" s="6" t="e">
        <f>SUM(AJ9:AJ15)</f>
        <v>#DIV/0!</v>
      </c>
      <c r="AM15" s="6">
        <f>SUM(AE9:AE15)</f>
        <v>0</v>
      </c>
      <c r="AN15" s="6">
        <f>SUM(AF9:AF15)</f>
        <v>0</v>
      </c>
      <c r="AO15" s="6" t="e">
        <f t="shared" si="3"/>
        <v>#VALUE!</v>
      </c>
      <c r="AP15" s="6" t="e">
        <f>SUM(AO9:AO15)</f>
        <v>#VALUE!</v>
      </c>
    </row>
    <row r="16" spans="1:42" x14ac:dyDescent="0.3">
      <c r="C16" s="65" t="str">
        <f>'5 Agg Analysis'!B34</f>
        <v># 8</v>
      </c>
      <c r="D16" s="65">
        <f>'5 Agg Analysis'!C34</f>
        <v>2.36</v>
      </c>
      <c r="E16" s="66">
        <f>'5 Agg Analysis'!D34</f>
        <v>1.4716698795820382</v>
      </c>
      <c r="F16" s="67">
        <f>'5 Agg Analysis'!E34</f>
        <v>0</v>
      </c>
      <c r="G16" s="67" t="e">
        <f>HLOOKUP($O$6,$N$7:$P$21,10)</f>
        <v>#REF!</v>
      </c>
      <c r="H16" s="67" t="e">
        <f t="shared" si="0"/>
        <v>#REF!</v>
      </c>
      <c r="I16" s="67" t="e">
        <f t="shared" si="4"/>
        <v>#REF!</v>
      </c>
      <c r="N16" s="71">
        <f t="shared" si="7"/>
        <v>33.191603994266536</v>
      </c>
      <c r="O16" s="71">
        <f t="shared" si="6"/>
        <v>29.403025015111549</v>
      </c>
      <c r="P16" s="71">
        <f t="shared" si="5"/>
        <v>24.180472275255237</v>
      </c>
      <c r="AA16" s="70" t="s">
        <v>41</v>
      </c>
      <c r="AB16" s="69">
        <f>IF('2 Aggregate System'!B33=0,0,('2 Aggregate System'!B32-'2 Aggregate System'!B33))</f>
        <v>0</v>
      </c>
      <c r="AC16" s="69">
        <f>IF('2 Aggregate System'!C32=0,0,('2 Aggregate System'!C32-'2 Aggregate System'!C33))</f>
        <v>0</v>
      </c>
      <c r="AD16" s="69">
        <f>IF('2 Aggregate System'!D32=0,0,('2 Aggregate System'!D32-'2 Aggregate System'!D33))</f>
        <v>0</v>
      </c>
      <c r="AE16" s="69">
        <f>IF('2 Aggregate System'!E33=0,0,('2 Aggregate System'!E32-'2 Aggregate System'!E33))</f>
        <v>0</v>
      </c>
      <c r="AF16" s="69">
        <f>IF('2 Aggregate System'!F33=0,0,('2 Aggregate System'!F32-'2 Aggregate System'!F33))</f>
        <v>0</v>
      </c>
      <c r="AH16" s="6">
        <f>SUM(AE9:AE16)</f>
        <v>0</v>
      </c>
      <c r="AI16" s="6">
        <f>SUM(AF9:AF16)</f>
        <v>0</v>
      </c>
      <c r="AJ16" s="6" t="e">
        <f>(($AC$30/SUM($AC$30:$AC$31))*AE16+($AC$31/SUM($AC$30:$AC$31)*AF16))</f>
        <v>#DIV/0!</v>
      </c>
      <c r="AK16" s="6" t="e">
        <f>SUM(AJ9:AJ16)</f>
        <v>#DIV/0!</v>
      </c>
      <c r="AM16" s="6">
        <f>SUM(AE9:AE16)</f>
        <v>0</v>
      </c>
      <c r="AN16" s="6">
        <f>SUM(AF9:AF16)</f>
        <v>0</v>
      </c>
      <c r="AO16" s="6" t="e">
        <f t="shared" si="3"/>
        <v>#VALUE!</v>
      </c>
      <c r="AP16" s="6" t="e">
        <f>SUM(AO9:AO16)</f>
        <v>#VALUE!</v>
      </c>
    </row>
    <row r="17" spans="2:42" x14ac:dyDescent="0.3">
      <c r="C17" s="65" t="str">
        <f>'5 Agg Analysis'!B35</f>
        <v># 16</v>
      </c>
      <c r="D17" s="65">
        <f>'5 Agg Analysis'!C35</f>
        <v>1.18</v>
      </c>
      <c r="E17" s="66">
        <f>'5 Agg Analysis'!D35</f>
        <v>1.0773254099250416</v>
      </c>
      <c r="F17" s="67">
        <f>'5 Agg Analysis'!E35</f>
        <v>0</v>
      </c>
      <c r="G17" s="67" t="e">
        <f>HLOOKUP($O$6,$N$7:$P$21,11)</f>
        <v>#REF!</v>
      </c>
      <c r="H17" s="67" t="e">
        <f t="shared" si="0"/>
        <v>#REF!</v>
      </c>
      <c r="I17" s="67" t="e">
        <f t="shared" si="4"/>
        <v>#REF!</v>
      </c>
      <c r="N17" s="71">
        <f t="shared" si="7"/>
        <v>21.90746991645856</v>
      </c>
      <c r="O17" s="71">
        <f t="shared" si="6"/>
        <v>19.406892359968605</v>
      </c>
      <c r="P17" s="71">
        <f t="shared" si="5"/>
        <v>15.959848431170112</v>
      </c>
      <c r="AA17" s="70" t="s">
        <v>42</v>
      </c>
      <c r="AB17" s="69">
        <f>IF('2 Aggregate System'!B34=0,0,('2 Aggregate System'!B33-'2 Aggregate System'!B34))</f>
        <v>0</v>
      </c>
      <c r="AC17" s="69">
        <f>IF('2 Aggregate System'!C33=0,0,('2 Aggregate System'!C33-'2 Aggregate System'!C34))</f>
        <v>0</v>
      </c>
      <c r="AD17" s="69">
        <f>IF('2 Aggregate System'!D33=0,0,('2 Aggregate System'!D33-'2 Aggregate System'!D34))</f>
        <v>0</v>
      </c>
      <c r="AE17" s="69">
        <f>IF('2 Aggregate System'!E34=0,0,('2 Aggregate System'!E33-'2 Aggregate System'!E34))</f>
        <v>0</v>
      </c>
      <c r="AF17" s="69">
        <f>IF('2 Aggregate System'!F34=0,0,('2 Aggregate System'!F33-'2 Aggregate System'!F34))</f>
        <v>0</v>
      </c>
      <c r="AH17" s="6">
        <f>SUM(AE9:AE17)</f>
        <v>0</v>
      </c>
      <c r="AI17" s="6">
        <f>SUM(AF9:AF17)</f>
        <v>0</v>
      </c>
      <c r="AJ17" s="6" t="e">
        <f t="shared" si="2"/>
        <v>#DIV/0!</v>
      </c>
      <c r="AK17" s="6" t="e">
        <f>SUM(AJ9:AJ17)</f>
        <v>#DIV/0!</v>
      </c>
      <c r="AM17" s="6">
        <f>SUM(AE9:AE17)</f>
        <v>0</v>
      </c>
      <c r="AN17" s="6">
        <f>SUM(AF9:AF17)</f>
        <v>0</v>
      </c>
      <c r="AO17" s="6" t="e">
        <f t="shared" si="3"/>
        <v>#VALUE!</v>
      </c>
      <c r="AP17" s="6" t="e">
        <f>SUM(AO9:AO17)</f>
        <v>#VALUE!</v>
      </c>
    </row>
    <row r="18" spans="2:42" x14ac:dyDescent="0.3">
      <c r="C18" s="65" t="str">
        <f>'5 Agg Analysis'!B36</f>
        <v># 30</v>
      </c>
      <c r="D18" s="65">
        <f>'5 Agg Analysis'!C36</f>
        <v>0.6</v>
      </c>
      <c r="E18" s="66">
        <f>'5 Agg Analysis'!D36</f>
        <v>0.79463568224020453</v>
      </c>
      <c r="F18" s="67">
        <f>'5 Agg Analysis'!E36</f>
        <v>0</v>
      </c>
      <c r="G18" s="67" t="e">
        <f>HLOOKUP($O$6,$N$7:$P$21,12)</f>
        <v>#REF!</v>
      </c>
      <c r="H18" s="67" t="e">
        <f t="shared" si="0"/>
        <v>#REF!</v>
      </c>
      <c r="I18" s="67" t="e">
        <f t="shared" si="4"/>
        <v>#REF!</v>
      </c>
      <c r="N18" s="71">
        <f t="shared" si="7"/>
        <v>13.818326958807015</v>
      </c>
      <c r="O18" s="71">
        <f t="shared" si="6"/>
        <v>12.24106594266962</v>
      </c>
      <c r="P18" s="71">
        <f t="shared" si="5"/>
        <v>10.066813040296662</v>
      </c>
      <c r="AA18" s="70" t="s">
        <v>43</v>
      </c>
      <c r="AB18" s="69">
        <f>IF('2 Aggregate System'!B35=0,0,('2 Aggregate System'!B34-'2 Aggregate System'!B35))</f>
        <v>0</v>
      </c>
      <c r="AC18" s="69">
        <f>IF('2 Aggregate System'!C34=0,0,('2 Aggregate System'!C34-'2 Aggregate System'!C35))</f>
        <v>0</v>
      </c>
      <c r="AD18" s="69">
        <f>IF('2 Aggregate System'!D34=0,0,('2 Aggregate System'!D34-'2 Aggregate System'!D35))</f>
        <v>0</v>
      </c>
      <c r="AE18" s="69">
        <f>IF('2 Aggregate System'!E35=0,0,('2 Aggregate System'!E34-'2 Aggregate System'!E35))</f>
        <v>0</v>
      </c>
      <c r="AF18" s="69">
        <f>IF('2 Aggregate System'!F35=0,0,('2 Aggregate System'!F34-'2 Aggregate System'!F35))</f>
        <v>0</v>
      </c>
      <c r="AH18" s="6">
        <f>SUM(AE9:AE18)</f>
        <v>0</v>
      </c>
      <c r="AI18" s="6">
        <f>SUM(AF9:AF18)</f>
        <v>0</v>
      </c>
      <c r="AJ18" s="6" t="e">
        <f t="shared" si="2"/>
        <v>#DIV/0!</v>
      </c>
      <c r="AK18" s="6" t="e">
        <f>SUM(AJ9:AJ18)</f>
        <v>#DIV/0!</v>
      </c>
      <c r="AM18" s="6">
        <f>SUM(AE9:AE18)</f>
        <v>0</v>
      </c>
      <c r="AN18" s="6">
        <f>SUM(AF9:AF18)</f>
        <v>0</v>
      </c>
      <c r="AO18" s="6" t="e">
        <f t="shared" si="3"/>
        <v>#VALUE!</v>
      </c>
      <c r="AP18" s="6" t="e">
        <f>SUM(AO9:AO18)</f>
        <v>#VALUE!</v>
      </c>
    </row>
    <row r="19" spans="2:42" x14ac:dyDescent="0.3">
      <c r="C19" s="65" t="str">
        <f>'5 Agg Analysis'!B37</f>
        <v># 50</v>
      </c>
      <c r="D19" s="65">
        <f>'5 Agg Analysis'!C37</f>
        <v>0.3</v>
      </c>
      <c r="E19" s="66">
        <f>'5 Agg Analysis'!D37</f>
        <v>0.58170736792793831</v>
      </c>
      <c r="F19" s="67">
        <f>'5 Agg Analysis'!E37</f>
        <v>0</v>
      </c>
      <c r="G19" s="67" t="e">
        <f>HLOOKUP($O$6,$N$7:$P$21,13)</f>
        <v>#REF!</v>
      </c>
      <c r="H19" s="67" t="e">
        <f t="shared" si="0"/>
        <v>#REF!</v>
      </c>
      <c r="I19" s="67" t="e">
        <f t="shared" si="4"/>
        <v>#REF!</v>
      </c>
      <c r="N19" s="71">
        <f t="shared" si="7"/>
        <v>7.7254010208544814</v>
      </c>
      <c r="O19" s="71">
        <f t="shared" si="6"/>
        <v>6.843602963785365</v>
      </c>
      <c r="P19" s="71">
        <f t="shared" si="5"/>
        <v>5.6280451294932448</v>
      </c>
      <c r="AA19" s="70" t="s">
        <v>44</v>
      </c>
      <c r="AB19" s="69">
        <f>IF('2 Aggregate System'!B36=0,0,('2 Aggregate System'!B35-'2 Aggregate System'!B36))</f>
        <v>0</v>
      </c>
      <c r="AC19" s="69">
        <f>IF('2 Aggregate System'!C35=0,0,('2 Aggregate System'!C35-'2 Aggregate System'!C36))</f>
        <v>0</v>
      </c>
      <c r="AD19" s="69">
        <f>IF('2 Aggregate System'!D35=0,0,('2 Aggregate System'!D35-'2 Aggregate System'!D36))</f>
        <v>0</v>
      </c>
      <c r="AE19" s="69">
        <f>IF('2 Aggregate System'!E36=0,0,('2 Aggregate System'!E35-'2 Aggregate System'!E36))</f>
        <v>0</v>
      </c>
      <c r="AF19" s="69">
        <f>IF('2 Aggregate System'!F36=0,0,('2 Aggregate System'!F35-'2 Aggregate System'!F36))</f>
        <v>0</v>
      </c>
      <c r="AH19" s="6">
        <f>SUM(AE9:AE19)</f>
        <v>0</v>
      </c>
      <c r="AI19" s="6">
        <f>SUM(AF9:AF19)</f>
        <v>0</v>
      </c>
      <c r="AJ19" s="6" t="e">
        <f t="shared" si="2"/>
        <v>#DIV/0!</v>
      </c>
      <c r="AK19" s="6" t="e">
        <f>SUM(AJ9:AJ19)</f>
        <v>#DIV/0!</v>
      </c>
      <c r="AM19" s="6">
        <f>SUM(AE9:AE19)</f>
        <v>0</v>
      </c>
      <c r="AN19" s="6">
        <f>SUM(AF9:AF19)</f>
        <v>0</v>
      </c>
      <c r="AO19" s="6" t="e">
        <f t="shared" si="3"/>
        <v>#VALUE!</v>
      </c>
      <c r="AP19" s="6" t="e">
        <f>SUM(AO9:AO19)</f>
        <v>#VALUE!</v>
      </c>
    </row>
    <row r="20" spans="2:42" x14ac:dyDescent="0.3">
      <c r="C20" s="65" t="str">
        <f>'5 Agg Analysis'!B38</f>
        <v># 100</v>
      </c>
      <c r="D20" s="65">
        <f>'5 Agg Analysis'!C38</f>
        <v>0.15</v>
      </c>
      <c r="E20" s="66">
        <f>'5 Agg Analysis'!D38</f>
        <v>0.42583471830473674</v>
      </c>
      <c r="F20" s="67">
        <f>'5 Agg Analysis'!E38</f>
        <v>0</v>
      </c>
      <c r="G20" s="67" t="e">
        <f>HLOOKUP($O$6,$N$7:$P$21,14)</f>
        <v>#REF!</v>
      </c>
      <c r="H20" s="67" t="e">
        <f t="shared" si="0"/>
        <v>#REF!</v>
      </c>
      <c r="I20" s="67" t="e">
        <f t="shared" si="4"/>
        <v>#REF!</v>
      </c>
      <c r="N20" s="71">
        <f t="shared" si="7"/>
        <v>3.2651181647482868</v>
      </c>
      <c r="O20" s="71">
        <f t="shared" si="6"/>
        <v>2.8924287928951138</v>
      </c>
      <c r="P20" s="71">
        <f t="shared" si="5"/>
        <v>2.3786768265783804</v>
      </c>
      <c r="AA20" s="70" t="s">
        <v>45</v>
      </c>
      <c r="AB20" s="69">
        <f>IF('2 Aggregate System'!B37=0,0,('2 Aggregate System'!B36-'2 Aggregate System'!B37))</f>
        <v>0</v>
      </c>
      <c r="AC20" s="69">
        <f>IF('2 Aggregate System'!C36=0,0,('2 Aggregate System'!C36-'2 Aggregate System'!C37))</f>
        <v>0</v>
      </c>
      <c r="AD20" s="69">
        <f>IF('2 Aggregate System'!D36=0,0,('2 Aggregate System'!D36-'2 Aggregate System'!D37))</f>
        <v>0</v>
      </c>
      <c r="AE20" s="69">
        <f>IF('2 Aggregate System'!E37=0,0,('2 Aggregate System'!E36-'2 Aggregate System'!E37))</f>
        <v>0</v>
      </c>
      <c r="AF20" s="69">
        <f>IF('2 Aggregate System'!F37=0,0,('2 Aggregate System'!F36-'2 Aggregate System'!F37))</f>
        <v>0</v>
      </c>
      <c r="AH20" s="6">
        <f>SUM(AE9:AE20)</f>
        <v>0</v>
      </c>
      <c r="AI20" s="6">
        <f>SUM(AF9:AF20)</f>
        <v>0</v>
      </c>
      <c r="AJ20" s="6" t="e">
        <f>(($AC$30/SUM($AC$30:$AC$31))*AE20+($AC$31/SUM($AC$30:$AC$31)*AF20))</f>
        <v>#DIV/0!</v>
      </c>
      <c r="AK20" s="6" t="e">
        <f>SUM(AJ9:AJ20)</f>
        <v>#DIV/0!</v>
      </c>
      <c r="AM20" s="6">
        <f>SUM(AE9:AE20)</f>
        <v>0</v>
      </c>
      <c r="AN20" s="6">
        <f>SUM(AF9:AF20)</f>
        <v>0</v>
      </c>
      <c r="AO20" s="6" t="e">
        <f t="shared" si="3"/>
        <v>#VALUE!</v>
      </c>
      <c r="AP20" s="6" t="e">
        <f>SUM(AO9:AO20)</f>
        <v>#VALUE!</v>
      </c>
    </row>
    <row r="21" spans="2:42" ht="16.2" thickBot="1" x14ac:dyDescent="0.35">
      <c r="C21" s="72" t="str">
        <f>'5 Agg Analysis'!B39</f>
        <v># 200</v>
      </c>
      <c r="D21" s="72">
        <f>'5 Agg Analysis'!C39</f>
        <v>7.4999999999999997E-2</v>
      </c>
      <c r="E21" s="73">
        <f>'5 Agg Analysis'!D39</f>
        <v>0.31172925995349998</v>
      </c>
      <c r="F21" s="74">
        <f>'5 Agg Analysis'!E39</f>
        <v>0</v>
      </c>
      <c r="G21" s="67" t="e">
        <f>HLOOKUP($O$6,$N$7:$P$21,15)</f>
        <v>#REF!</v>
      </c>
      <c r="H21" s="74" t="e">
        <f t="shared" si="0"/>
        <v>#REF!</v>
      </c>
      <c r="I21" s="74" t="e">
        <f t="shared" si="4"/>
        <v>#REF!</v>
      </c>
      <c r="N21" s="71">
        <f t="shared" si="7"/>
        <v>0</v>
      </c>
      <c r="O21" s="71">
        <f t="shared" si="6"/>
        <v>0</v>
      </c>
      <c r="P21" s="71">
        <f t="shared" si="5"/>
        <v>0</v>
      </c>
      <c r="AA21" s="75" t="s">
        <v>46</v>
      </c>
      <c r="AB21" s="76">
        <f>IF('2 Aggregate System'!B38=0,0,('2 Aggregate System'!B37-'2 Aggregate System'!B38))</f>
        <v>0</v>
      </c>
      <c r="AC21" s="76">
        <f>IF('2 Aggregate System'!C37=0,0,('2 Aggregate System'!C37-'2 Aggregate System'!C38))</f>
        <v>0</v>
      </c>
      <c r="AD21" s="76">
        <f>IF('2 Aggregate System'!D37=0,0,('2 Aggregate System'!D37-'2 Aggregate System'!D38))</f>
        <v>0</v>
      </c>
      <c r="AE21" s="76">
        <f>IF('2 Aggregate System'!E38=0,0,('2 Aggregate System'!E37-'2 Aggregate System'!E38))</f>
        <v>0</v>
      </c>
      <c r="AF21" s="76">
        <f>IF('2 Aggregate System'!F38=0,0,('2 Aggregate System'!F37-'2 Aggregate System'!F38))</f>
        <v>0</v>
      </c>
      <c r="AH21" s="6">
        <f>SUM(AH14:AH20)/100</f>
        <v>0</v>
      </c>
      <c r="AI21" s="6">
        <f>SUM(AI14:AI20)/100</f>
        <v>0</v>
      </c>
      <c r="AJ21" s="6"/>
      <c r="AK21" s="5" t="e">
        <f>SUM(AK14:AK20)/100</f>
        <v>#DIV/0!</v>
      </c>
      <c r="AM21" s="6">
        <f>SUM(AM14:AM20)/100</f>
        <v>0</v>
      </c>
      <c r="AN21" s="6">
        <f>SUM(AN14:AN20)/100</f>
        <v>0</v>
      </c>
      <c r="AO21" s="6"/>
      <c r="AP21" s="5" t="e">
        <f>SUM(AP14:AP20)/100</f>
        <v>#VALUE!</v>
      </c>
    </row>
    <row r="22" spans="2:42" x14ac:dyDescent="0.3">
      <c r="C22" s="72"/>
      <c r="D22" s="72"/>
      <c r="E22" s="72"/>
      <c r="F22" s="72"/>
      <c r="G22" s="52"/>
      <c r="H22" s="74" t="e">
        <f>SUM(H9:H21)</f>
        <v>#REF!</v>
      </c>
      <c r="I22" s="74" t="e">
        <f>SUM(I9:I21)</f>
        <v>#REF!</v>
      </c>
      <c r="N22" s="52"/>
      <c r="O22" s="52"/>
      <c r="P22" s="52"/>
      <c r="AK22" s="6"/>
    </row>
    <row r="24" spans="2:42" x14ac:dyDescent="0.3">
      <c r="B24" s="77" t="s">
        <v>31</v>
      </c>
      <c r="C24" s="78" t="s">
        <v>85</v>
      </c>
      <c r="D24" s="63" t="s">
        <v>86</v>
      </c>
      <c r="E24" s="63" t="s">
        <v>87</v>
      </c>
      <c r="F24" s="77" t="s">
        <v>88</v>
      </c>
      <c r="G24" s="78"/>
      <c r="H24" s="77" t="s">
        <v>89</v>
      </c>
      <c r="I24" s="78" t="s">
        <v>89</v>
      </c>
      <c r="J24" s="77" t="s">
        <v>90</v>
      </c>
      <c r="K24" s="78"/>
      <c r="L24" s="77" t="s">
        <v>91</v>
      </c>
      <c r="M24" s="78"/>
      <c r="N24" s="77" t="s">
        <v>92</v>
      </c>
      <c r="O24" s="78"/>
      <c r="P24" s="77" t="s">
        <v>93</v>
      </c>
      <c r="Q24" s="78"/>
      <c r="R24" s="1156" t="s">
        <v>245</v>
      </c>
      <c r="S24" s="1148"/>
      <c r="T24" s="79" t="s">
        <v>262</v>
      </c>
      <c r="U24" s="79"/>
      <c r="AH24" s="1148" t="s">
        <v>193</v>
      </c>
      <c r="AI24" s="1148"/>
      <c r="AJ24" s="1148"/>
    </row>
    <row r="25" spans="2:42" ht="16.2" thickBot="1" x14ac:dyDescent="0.35">
      <c r="B25" s="80"/>
      <c r="C25" s="81"/>
      <c r="D25" s="65"/>
      <c r="E25" s="65"/>
      <c r="F25" s="80"/>
      <c r="G25" s="81"/>
      <c r="H25" s="80" t="s">
        <v>94</v>
      </c>
      <c r="I25" s="81" t="s">
        <v>95</v>
      </c>
      <c r="J25" s="80"/>
      <c r="K25" s="81"/>
      <c r="L25" s="80"/>
      <c r="M25" s="81"/>
      <c r="N25" s="80"/>
      <c r="O25" s="81"/>
      <c r="P25" s="80"/>
      <c r="Q25" s="81"/>
      <c r="AC25" s="1148" t="s">
        <v>230</v>
      </c>
      <c r="AD25" s="1148"/>
      <c r="AE25" s="1148"/>
      <c r="AH25" s="1" t="s">
        <v>194</v>
      </c>
      <c r="AI25" s="1" t="s">
        <v>195</v>
      </c>
      <c r="AN25" s="51"/>
    </row>
    <row r="26" spans="2:42" x14ac:dyDescent="0.3">
      <c r="B26" s="80" t="s">
        <v>96</v>
      </c>
      <c r="C26" s="81">
        <v>75</v>
      </c>
      <c r="D26" s="66">
        <f t="shared" ref="D26:D39" si="8">+C26^0.45</f>
        <v>6.9787488376816533</v>
      </c>
      <c r="E26" s="82"/>
      <c r="F26" s="80"/>
      <c r="G26" s="81"/>
      <c r="H26" s="80"/>
      <c r="I26" s="81"/>
      <c r="J26" s="80"/>
      <c r="K26" s="81"/>
      <c r="L26" s="80"/>
      <c r="M26" s="81"/>
      <c r="N26" s="80"/>
      <c r="O26" s="81"/>
      <c r="P26" s="80"/>
      <c r="Q26" s="81"/>
      <c r="R26" s="1" t="s">
        <v>246</v>
      </c>
      <c r="S26" s="1" t="s">
        <v>247</v>
      </c>
      <c r="T26" s="1" t="s">
        <v>246</v>
      </c>
      <c r="U26" s="1" t="s">
        <v>247</v>
      </c>
      <c r="AC26" s="1" t="s">
        <v>190</v>
      </c>
      <c r="AD26" s="1" t="s">
        <v>191</v>
      </c>
      <c r="AE26" s="1" t="s">
        <v>192</v>
      </c>
      <c r="AG26" s="68" t="s">
        <v>34</v>
      </c>
      <c r="AH26" s="83" t="e">
        <f>(('2 Aggregate System'!B26*($AE$27/SUM($AE$27:$AE$31)))+('2 Aggregate System'!C26*($AE$28/SUM($AE$27:$AE$31)))+('2 Aggregate System'!D26*($AE$29/SUM($AE$27:$AE$31)))+('2 Aggregate System'!E26*($AE$30/SUM($AE$27:$AE$31)))+('2 Aggregate System'!F26*($AE$31/SUM($AE$27:$AE$31))))/100</f>
        <v>#DIV/0!</v>
      </c>
      <c r="AI26" s="121" t="e">
        <f>1-AH26</f>
        <v>#DIV/0!</v>
      </c>
      <c r="AJ26" s="1" t="e">
        <f>AI26*100</f>
        <v>#DIV/0!</v>
      </c>
      <c r="AN26" s="51"/>
    </row>
    <row r="27" spans="2:42" x14ac:dyDescent="0.3">
      <c r="B27" s="80" t="s">
        <v>34</v>
      </c>
      <c r="C27" s="81">
        <v>50</v>
      </c>
      <c r="D27" s="66">
        <f t="shared" si="8"/>
        <v>5.8148230317277987</v>
      </c>
      <c r="E27" s="82">
        <f>+'2 Aggregate System'!L27</f>
        <v>0</v>
      </c>
      <c r="F27" s="80"/>
      <c r="G27" s="81"/>
      <c r="H27" s="84">
        <v>100</v>
      </c>
      <c r="I27" s="85">
        <v>100</v>
      </c>
      <c r="J27" s="80">
        <v>100</v>
      </c>
      <c r="K27" s="81">
        <v>100</v>
      </c>
      <c r="L27" s="80">
        <v>100</v>
      </c>
      <c r="M27" s="81">
        <v>100</v>
      </c>
      <c r="N27" s="80">
        <v>0</v>
      </c>
      <c r="O27" s="86">
        <f>D27</f>
        <v>5.8148230317277987</v>
      </c>
      <c r="P27" s="87">
        <v>0</v>
      </c>
      <c r="Q27" s="88"/>
      <c r="R27" s="1">
        <v>100</v>
      </c>
      <c r="S27" s="51">
        <v>100</v>
      </c>
      <c r="T27" s="1">
        <v>100</v>
      </c>
      <c r="U27" s="1">
        <v>100</v>
      </c>
      <c r="AB27" s="1" t="s">
        <v>167</v>
      </c>
      <c r="AC27" s="3">
        <f>'4 Mix Design'!D16</f>
        <v>0</v>
      </c>
      <c r="AD27" s="1">
        <f>'2 Aggregate System'!I13</f>
        <v>0</v>
      </c>
      <c r="AE27" s="5">
        <f>IF(AC27=0,0,'4 Mix Design'!H16)</f>
        <v>0</v>
      </c>
      <c r="AG27" s="70" t="s">
        <v>35</v>
      </c>
      <c r="AH27" s="83" t="e">
        <f>(('2 Aggregate System'!B27*($AE$27/SUM($AE$27:$AE$31)))+('2 Aggregate System'!C27*($AE$28/SUM($AE$27:$AE$31)))+('2 Aggregate System'!D27*($AE$29/SUM($AE$27:$AE$31)))+('2 Aggregate System'!E27*($AE$30/SUM($AE$27:$AE$31)))+('2 Aggregate System'!F27*($AE$31/SUM($AE$27:$AE$31))))/100</f>
        <v>#DIV/0!</v>
      </c>
      <c r="AI27" s="121" t="e">
        <f>AH26-AH27</f>
        <v>#DIV/0!</v>
      </c>
      <c r="AJ27" s="1" t="e">
        <f>AI27*100</f>
        <v>#DIV/0!</v>
      </c>
      <c r="AK27" s="5"/>
      <c r="AL27" s="51"/>
      <c r="AM27" s="51"/>
      <c r="AN27" s="89"/>
    </row>
    <row r="28" spans="2:42" x14ac:dyDescent="0.3">
      <c r="B28" s="80" t="s">
        <v>97</v>
      </c>
      <c r="C28" s="81">
        <v>37.5</v>
      </c>
      <c r="D28" s="66">
        <f t="shared" si="8"/>
        <v>5.1087431744234335</v>
      </c>
      <c r="E28" s="82">
        <f>+'2 Aggregate System'!L28</f>
        <v>0</v>
      </c>
      <c r="F28" s="80"/>
      <c r="G28" s="81"/>
      <c r="H28" s="84">
        <v>100</v>
      </c>
      <c r="I28" s="85">
        <v>100</v>
      </c>
      <c r="J28" s="80">
        <v>100</v>
      </c>
      <c r="K28" s="81">
        <v>100</v>
      </c>
      <c r="L28" s="80">
        <v>100</v>
      </c>
      <c r="M28" s="81">
        <v>100</v>
      </c>
      <c r="N28" s="80"/>
      <c r="O28" s="81"/>
      <c r="P28" s="87">
        <v>5</v>
      </c>
      <c r="Q28" s="88">
        <v>0</v>
      </c>
      <c r="R28" s="1">
        <v>96</v>
      </c>
      <c r="S28" s="51">
        <v>100</v>
      </c>
      <c r="T28" s="51">
        <v>100</v>
      </c>
      <c r="U28" s="1">
        <v>100</v>
      </c>
      <c r="V28" s="51"/>
      <c r="AB28" s="1" t="s">
        <v>168</v>
      </c>
      <c r="AC28" s="3">
        <f>'4 Mix Design'!D17</f>
        <v>0</v>
      </c>
      <c r="AD28" s="1">
        <f>'2 Aggregate System'!I14</f>
        <v>0</v>
      </c>
      <c r="AE28" s="5">
        <f>IF(AC28=0,0,'4 Mix Design'!H17)</f>
        <v>0</v>
      </c>
      <c r="AG28" s="70" t="s">
        <v>36</v>
      </c>
      <c r="AH28" s="83" t="e">
        <f>(('2 Aggregate System'!B28*($AE$27/SUM($AE$27:$AE$31)))+('2 Aggregate System'!C28*($AE$28/SUM($AE$27:$AE$31)))+('2 Aggregate System'!D28*($AE$29/SUM($AE$27:$AE$31)))+('2 Aggregate System'!E28*($AE$30/SUM($AE$27:$AE$31)))+('2 Aggregate System'!F28*($AE$31/SUM($AE$27:$AE$31))))/100</f>
        <v>#DIV/0!</v>
      </c>
      <c r="AI28" s="121" t="e">
        <f t="shared" ref="AI28:AI38" si="9">AH27-AH28</f>
        <v>#DIV/0!</v>
      </c>
      <c r="AJ28" s="1" t="e">
        <f t="shared" ref="AJ28:AJ38" si="10">AI28*100</f>
        <v>#DIV/0!</v>
      </c>
      <c r="AK28" s="5"/>
      <c r="AL28" s="51"/>
      <c r="AM28" s="51"/>
      <c r="AN28" s="89"/>
    </row>
    <row r="29" spans="2:42" x14ac:dyDescent="0.3">
      <c r="B29" s="80" t="s">
        <v>36</v>
      </c>
      <c r="C29" s="81">
        <v>25</v>
      </c>
      <c r="D29" s="66">
        <f t="shared" si="8"/>
        <v>4.2566996126039234</v>
      </c>
      <c r="E29" s="82">
        <f>+'2 Aggregate System'!L29</f>
        <v>0</v>
      </c>
      <c r="F29" s="80"/>
      <c r="G29" s="81">
        <v>0</v>
      </c>
      <c r="H29" s="84">
        <v>100</v>
      </c>
      <c r="I29" s="85">
        <v>100</v>
      </c>
      <c r="J29" s="80">
        <v>100</v>
      </c>
      <c r="K29" s="81">
        <v>100</v>
      </c>
      <c r="L29" s="80">
        <v>100</v>
      </c>
      <c r="M29" s="81">
        <v>100</v>
      </c>
      <c r="N29" s="80">
        <v>0</v>
      </c>
      <c r="O29" s="86">
        <f>D29</f>
        <v>4.2566996126039234</v>
      </c>
      <c r="P29" s="87">
        <v>16</v>
      </c>
      <c r="Q29" s="88">
        <v>0</v>
      </c>
      <c r="R29" s="1">
        <v>70</v>
      </c>
      <c r="S29" s="51">
        <v>99</v>
      </c>
      <c r="T29" s="51">
        <v>100</v>
      </c>
      <c r="U29" s="1">
        <v>100</v>
      </c>
      <c r="V29" s="51"/>
      <c r="W29" s="51"/>
      <c r="X29" s="51"/>
      <c r="AB29" s="1" t="s">
        <v>185</v>
      </c>
      <c r="AC29" s="3">
        <f>'4 Mix Design'!D18</f>
        <v>0</v>
      </c>
      <c r="AD29" s="1">
        <f>'2 Aggregate System'!I15</f>
        <v>0</v>
      </c>
      <c r="AE29" s="5">
        <f>IF(AC29=0,0,'4 Mix Design'!H18)</f>
        <v>0</v>
      </c>
      <c r="AG29" s="70" t="s">
        <v>37</v>
      </c>
      <c r="AH29" s="83" t="e">
        <f>(('2 Aggregate System'!B29*($AE$27/SUM($AE$27:$AE$31)))+('2 Aggregate System'!C29*($AE$28/SUM($AE$27:$AE$31)))+('2 Aggregate System'!D29*($AE$29/SUM($AE$27:$AE$31)))+('2 Aggregate System'!E29*($AE$30/SUM($AE$27:$AE$31)))+('2 Aggregate System'!F29*($AE$31/SUM($AE$27:$AE$31))))/100</f>
        <v>#DIV/0!</v>
      </c>
      <c r="AI29" s="121" t="e">
        <f t="shared" si="9"/>
        <v>#DIV/0!</v>
      </c>
      <c r="AJ29" s="1" t="e">
        <f t="shared" si="10"/>
        <v>#DIV/0!</v>
      </c>
      <c r="AK29" s="5"/>
      <c r="AL29" s="51"/>
      <c r="AM29" s="51"/>
      <c r="AN29" s="89"/>
    </row>
    <row r="30" spans="2:42" x14ac:dyDescent="0.3">
      <c r="B30" s="80" t="s">
        <v>37</v>
      </c>
      <c r="C30" s="81">
        <v>19.5</v>
      </c>
      <c r="D30" s="66">
        <f t="shared" si="8"/>
        <v>3.8064100829378442</v>
      </c>
      <c r="E30" s="82">
        <f>+'2 Aggregate System'!L30</f>
        <v>0</v>
      </c>
      <c r="F30" s="80">
        <v>0</v>
      </c>
      <c r="G30" s="81">
        <v>18</v>
      </c>
      <c r="H30" s="84">
        <v>100</v>
      </c>
      <c r="I30" s="85">
        <v>100</v>
      </c>
      <c r="J30" s="80">
        <v>80</v>
      </c>
      <c r="K30" s="81">
        <v>88</v>
      </c>
      <c r="L30" s="80">
        <v>88</v>
      </c>
      <c r="M30" s="81">
        <v>98</v>
      </c>
      <c r="N30" s="80"/>
      <c r="O30" s="81"/>
      <c r="P30" s="87">
        <v>20</v>
      </c>
      <c r="Q30" s="88">
        <v>0</v>
      </c>
      <c r="R30" s="1">
        <v>55</v>
      </c>
      <c r="S30" s="51">
        <v>96</v>
      </c>
      <c r="T30" s="51">
        <v>95</v>
      </c>
      <c r="U30" s="1">
        <v>100</v>
      </c>
      <c r="V30" s="51"/>
      <c r="W30" s="51"/>
      <c r="X30" s="51"/>
      <c r="AB30" s="1" t="s">
        <v>186</v>
      </c>
      <c r="AC30" s="3">
        <f>'4 Mix Design'!D19</f>
        <v>0</v>
      </c>
      <c r="AD30" s="1">
        <f>'2 Aggregate System'!I16</f>
        <v>0</v>
      </c>
      <c r="AE30" s="5">
        <f>IF(AC30=0,0,'4 Mix Design'!H19)</f>
        <v>0</v>
      </c>
      <c r="AG30" s="70" t="s">
        <v>38</v>
      </c>
      <c r="AH30" s="83" t="e">
        <f>(('2 Aggregate System'!B30*($AE$27/SUM($AE$27:$AE$31)))+('2 Aggregate System'!C30*($AE$28/SUM($AE$27:$AE$31)))+('2 Aggregate System'!D30*($AE$29/SUM($AE$27:$AE$31)))+('2 Aggregate System'!E30*($AE$30/SUM($AE$27:$AE$31)))+('2 Aggregate System'!F30*($AE$31/SUM($AE$27:$AE$31))))/100</f>
        <v>#DIV/0!</v>
      </c>
      <c r="AI30" s="121" t="e">
        <f t="shared" si="9"/>
        <v>#DIV/0!</v>
      </c>
      <c r="AJ30" s="1" t="e">
        <f t="shared" si="10"/>
        <v>#DIV/0!</v>
      </c>
      <c r="AK30" s="5"/>
      <c r="AL30" s="51"/>
      <c r="AM30" s="51"/>
      <c r="AN30" s="89"/>
    </row>
    <row r="31" spans="2:42" x14ac:dyDescent="0.3">
      <c r="B31" s="80" t="s">
        <v>38</v>
      </c>
      <c r="C31" s="81">
        <v>12.5</v>
      </c>
      <c r="D31" s="66">
        <f t="shared" si="8"/>
        <v>3.116086507375345</v>
      </c>
      <c r="E31" s="82">
        <f>+'2 Aggregate System'!L31</f>
        <v>0</v>
      </c>
      <c r="F31" s="80">
        <v>8</v>
      </c>
      <c r="G31" s="81">
        <v>18</v>
      </c>
      <c r="H31" s="84">
        <v>100</v>
      </c>
      <c r="I31" s="85">
        <v>100</v>
      </c>
      <c r="J31" s="80">
        <v>63</v>
      </c>
      <c r="K31" s="81">
        <v>75</v>
      </c>
      <c r="L31" s="80">
        <v>66</v>
      </c>
      <c r="M31" s="81">
        <v>86</v>
      </c>
      <c r="N31" s="80">
        <v>0</v>
      </c>
      <c r="O31" s="86">
        <f>D31</f>
        <v>3.116086507375345</v>
      </c>
      <c r="P31" s="87">
        <v>20</v>
      </c>
      <c r="Q31" s="88">
        <v>4</v>
      </c>
      <c r="R31" s="1">
        <v>48</v>
      </c>
      <c r="S31" s="51">
        <v>86</v>
      </c>
      <c r="T31" s="51">
        <v>75</v>
      </c>
      <c r="U31" s="1">
        <v>91</v>
      </c>
      <c r="V31" s="51"/>
      <c r="W31" s="51"/>
      <c r="X31" s="51"/>
      <c r="AB31" s="1" t="s">
        <v>187</v>
      </c>
      <c r="AC31" s="3">
        <f>'4 Mix Design'!D20</f>
        <v>0</v>
      </c>
      <c r="AD31" s="1">
        <f>'2 Aggregate System'!I17</f>
        <v>0</v>
      </c>
      <c r="AE31" s="5">
        <f>IF(AC31=0,0,'4 Mix Design'!H20)</f>
        <v>0</v>
      </c>
      <c r="AG31" s="70" t="s">
        <v>39</v>
      </c>
      <c r="AH31" s="83" t="e">
        <f>(('2 Aggregate System'!B31*($AE$27/SUM($AE$27:$AE$31)))+('2 Aggregate System'!C31*($AE$28/SUM($AE$27:$AE$31)))+('2 Aggregate System'!D31*($AE$29/SUM($AE$27:$AE$31)))+('2 Aggregate System'!E31*($AE$30/SUM($AE$27:$AE$31)))+('2 Aggregate System'!F31*($AE$31/SUM($AE$27:$AE$31))))/100</f>
        <v>#DIV/0!</v>
      </c>
      <c r="AI31" s="121" t="e">
        <f t="shared" si="9"/>
        <v>#DIV/0!</v>
      </c>
      <c r="AJ31" s="1" t="e">
        <f t="shared" si="10"/>
        <v>#DIV/0!</v>
      </c>
      <c r="AK31" s="5"/>
      <c r="AL31" s="51"/>
      <c r="AM31" s="51"/>
      <c r="AN31" s="89"/>
    </row>
    <row r="32" spans="2:42" x14ac:dyDescent="0.3">
      <c r="B32" s="80" t="s">
        <v>39</v>
      </c>
      <c r="C32" s="81">
        <v>9.5</v>
      </c>
      <c r="D32" s="66">
        <f t="shared" si="8"/>
        <v>2.754074108566122</v>
      </c>
      <c r="E32" s="82">
        <f>+'2 Aggregate System'!L32</f>
        <v>0</v>
      </c>
      <c r="F32" s="80">
        <v>8</v>
      </c>
      <c r="G32" s="81">
        <v>18</v>
      </c>
      <c r="H32" s="84">
        <v>100</v>
      </c>
      <c r="I32" s="85">
        <v>100</v>
      </c>
      <c r="J32" s="80">
        <v>55</v>
      </c>
      <c r="K32" s="81">
        <v>70</v>
      </c>
      <c r="L32" s="80">
        <v>50</v>
      </c>
      <c r="M32" s="81">
        <v>75</v>
      </c>
      <c r="N32" s="80"/>
      <c r="O32" s="81"/>
      <c r="P32" s="87">
        <v>20</v>
      </c>
      <c r="Q32" s="88">
        <v>4</v>
      </c>
      <c r="R32" s="1">
        <v>38</v>
      </c>
      <c r="S32" s="51">
        <v>77</v>
      </c>
      <c r="T32" s="51">
        <v>56</v>
      </c>
      <c r="U32" s="1">
        <v>80</v>
      </c>
      <c r="V32" s="51"/>
      <c r="W32" s="51"/>
      <c r="X32" s="51"/>
      <c r="AB32" s="1" t="s">
        <v>78</v>
      </c>
      <c r="AC32" s="3">
        <f>SUM(AC27:AC31)</f>
        <v>0</v>
      </c>
      <c r="AD32" s="1" t="s">
        <v>78</v>
      </c>
      <c r="AE32" s="5">
        <f>SUM(AE27:AE31)</f>
        <v>0</v>
      </c>
      <c r="AG32" s="70" t="s">
        <v>40</v>
      </c>
      <c r="AH32" s="83" t="e">
        <f>(('2 Aggregate System'!B32*($AE$27/SUM($AE$27:$AE$31)))+('2 Aggregate System'!C32*($AE$28/SUM($AE$27:$AE$31)))+('2 Aggregate System'!D32*($AE$29/SUM($AE$27:$AE$31)))+('2 Aggregate System'!E32*($AE$30/SUM($AE$27:$AE$31)))+('2 Aggregate System'!F32*($AE$31/SUM($AE$27:$AE$31))))/100</f>
        <v>#DIV/0!</v>
      </c>
      <c r="AI32" s="121" t="e">
        <f t="shared" si="9"/>
        <v>#DIV/0!</v>
      </c>
      <c r="AJ32" s="1" t="e">
        <f t="shared" si="10"/>
        <v>#DIV/0!</v>
      </c>
      <c r="AK32" s="5"/>
      <c r="AL32" s="51"/>
      <c r="AM32" s="51"/>
      <c r="AN32" s="89"/>
    </row>
    <row r="33" spans="2:40" x14ac:dyDescent="0.3">
      <c r="B33" s="80" t="s">
        <v>40</v>
      </c>
      <c r="C33" s="81">
        <v>4.75</v>
      </c>
      <c r="D33" s="66">
        <f t="shared" si="8"/>
        <v>2.0161002539629291</v>
      </c>
      <c r="E33" s="82">
        <f>+'2 Aggregate System'!L33</f>
        <v>0</v>
      </c>
      <c r="F33" s="80">
        <v>8</v>
      </c>
      <c r="G33" s="81">
        <v>18</v>
      </c>
      <c r="H33" s="87">
        <v>95</v>
      </c>
      <c r="I33" s="88">
        <v>100</v>
      </c>
      <c r="J33" s="80">
        <v>40</v>
      </c>
      <c r="K33" s="81">
        <v>59</v>
      </c>
      <c r="L33" s="80">
        <v>40</v>
      </c>
      <c r="M33" s="81">
        <v>52</v>
      </c>
      <c r="N33" s="80">
        <v>0</v>
      </c>
      <c r="O33" s="86">
        <f>D33</f>
        <v>2.0161002539629291</v>
      </c>
      <c r="P33" s="87">
        <v>20</v>
      </c>
      <c r="Q33" s="88">
        <v>4</v>
      </c>
      <c r="R33" s="1">
        <v>30</v>
      </c>
      <c r="S33" s="51">
        <v>60</v>
      </c>
      <c r="T33" s="51">
        <v>42</v>
      </c>
      <c r="U33" s="1">
        <v>60</v>
      </c>
      <c r="V33" s="51"/>
      <c r="W33" s="51"/>
      <c r="X33" s="51"/>
      <c r="AG33" s="70" t="s">
        <v>41</v>
      </c>
      <c r="AH33" s="83" t="e">
        <f>(('2 Aggregate System'!B33*($AE$27/SUM($AE$27:$AE$31)))+('2 Aggregate System'!C33*($AE$28/SUM($AE$27:$AE$31)))+('2 Aggregate System'!D33*($AE$29/SUM($AE$27:$AE$31)))+('2 Aggregate System'!E33*($AE$30/SUM($AE$27:$AE$31)))+('2 Aggregate System'!F33*($AE$31/SUM($AE$27:$AE$31))))/100</f>
        <v>#DIV/0!</v>
      </c>
      <c r="AI33" s="121" t="e">
        <f t="shared" si="9"/>
        <v>#DIV/0!</v>
      </c>
      <c r="AJ33" s="1" t="e">
        <f t="shared" si="10"/>
        <v>#DIV/0!</v>
      </c>
      <c r="AK33" s="5"/>
      <c r="AL33" s="51"/>
      <c r="AM33" s="51"/>
      <c r="AN33" s="89"/>
    </row>
    <row r="34" spans="2:40" x14ac:dyDescent="0.3">
      <c r="B34" s="80" t="s">
        <v>41</v>
      </c>
      <c r="C34" s="81">
        <v>2.36</v>
      </c>
      <c r="D34" s="66">
        <f t="shared" si="8"/>
        <v>1.4716698795820382</v>
      </c>
      <c r="E34" s="82">
        <f>+'2 Aggregate System'!L34</f>
        <v>0</v>
      </c>
      <c r="F34" s="80">
        <v>8</v>
      </c>
      <c r="G34" s="81">
        <v>18</v>
      </c>
      <c r="H34" s="87">
        <v>80</v>
      </c>
      <c r="I34" s="88">
        <v>100</v>
      </c>
      <c r="J34" s="80">
        <v>28</v>
      </c>
      <c r="K34" s="81">
        <v>48</v>
      </c>
      <c r="L34" s="80">
        <v>33</v>
      </c>
      <c r="M34" s="81">
        <v>43</v>
      </c>
      <c r="N34" s="80"/>
      <c r="O34" s="86"/>
      <c r="P34" s="87">
        <v>12</v>
      </c>
      <c r="Q34" s="88">
        <v>0</v>
      </c>
      <c r="R34" s="1">
        <v>25</v>
      </c>
      <c r="S34" s="51">
        <v>53</v>
      </c>
      <c r="T34" s="51">
        <v>36</v>
      </c>
      <c r="U34" s="1">
        <v>55</v>
      </c>
      <c r="V34" s="51"/>
      <c r="W34" s="51"/>
      <c r="X34" s="51"/>
      <c r="AA34" s="1148" t="s">
        <v>205</v>
      </c>
      <c r="AB34" s="1148"/>
      <c r="AD34" s="1148" t="s">
        <v>206</v>
      </c>
      <c r="AE34" s="1148"/>
      <c r="AG34" s="70" t="s">
        <v>42</v>
      </c>
      <c r="AH34" s="83" t="e">
        <f>(('2 Aggregate System'!B34*($AE$27/SUM($AE$27:$AE$31)))+('2 Aggregate System'!C34*($AE$28/SUM($AE$27:$AE$31)))+('2 Aggregate System'!D34*($AE$29/SUM($AE$27:$AE$31)))+('2 Aggregate System'!E34*($AE$30/SUM($AE$27:$AE$31)))+('2 Aggregate System'!F34*($AE$31/SUM($AE$27:$AE$31))))/100</f>
        <v>#DIV/0!</v>
      </c>
      <c r="AI34" s="121" t="e">
        <f t="shared" si="9"/>
        <v>#DIV/0!</v>
      </c>
      <c r="AJ34" s="1" t="e">
        <f t="shared" si="10"/>
        <v>#DIV/0!</v>
      </c>
      <c r="AK34" s="5"/>
      <c r="AL34" s="51"/>
      <c r="AM34" s="51"/>
      <c r="AN34" s="89"/>
    </row>
    <row r="35" spans="2:40" x14ac:dyDescent="0.3">
      <c r="B35" s="80" t="s">
        <v>42</v>
      </c>
      <c r="C35" s="81">
        <v>1.18</v>
      </c>
      <c r="D35" s="66">
        <f t="shared" si="8"/>
        <v>1.0773254099250416</v>
      </c>
      <c r="E35" s="82">
        <f>+'2 Aggregate System'!L35</f>
        <v>0</v>
      </c>
      <c r="F35" s="80">
        <v>8</v>
      </c>
      <c r="G35" s="81">
        <v>18</v>
      </c>
      <c r="H35" s="87">
        <v>50</v>
      </c>
      <c r="I35" s="88">
        <v>85</v>
      </c>
      <c r="J35" s="80">
        <v>18</v>
      </c>
      <c r="K35" s="81">
        <v>35</v>
      </c>
      <c r="L35" s="80">
        <v>25</v>
      </c>
      <c r="M35" s="81">
        <v>35</v>
      </c>
      <c r="N35" s="80">
        <v>0</v>
      </c>
      <c r="O35" s="86">
        <f>D35</f>
        <v>1.0773254099250416</v>
      </c>
      <c r="P35" s="87">
        <v>12</v>
      </c>
      <c r="Q35" s="88">
        <v>0</v>
      </c>
      <c r="R35" s="1">
        <v>20</v>
      </c>
      <c r="S35" s="51">
        <v>44</v>
      </c>
      <c r="T35" s="51">
        <v>27</v>
      </c>
      <c r="U35" s="1">
        <v>45</v>
      </c>
      <c r="V35" s="51"/>
      <c r="W35" s="51"/>
      <c r="X35" s="51"/>
      <c r="AA35" s="90" t="s">
        <v>198</v>
      </c>
      <c r="AB35" s="1" t="e">
        <f>(AE27/$AE$32)*100</f>
        <v>#DIV/0!</v>
      </c>
      <c r="AD35" s="90" t="s">
        <v>198</v>
      </c>
      <c r="AE35" s="1" t="e">
        <f>(AC27/$AC$32)*100</f>
        <v>#DIV/0!</v>
      </c>
      <c r="AG35" s="70" t="s">
        <v>43</v>
      </c>
      <c r="AH35" s="83" t="e">
        <f>(('2 Aggregate System'!B35*($AE$27/SUM($AE$27:$AE$31)))+('2 Aggregate System'!C35*($AE$28/SUM($AE$27:$AE$31)))+('2 Aggregate System'!D35*($AE$29/SUM($AE$27:$AE$31)))+('2 Aggregate System'!E35*($AE$30/SUM($AE$27:$AE$31)))+('2 Aggregate System'!F35*($AE$31/SUM($AE$27:$AE$31))))/100</f>
        <v>#DIV/0!</v>
      </c>
      <c r="AI35" s="121" t="e">
        <f t="shared" si="9"/>
        <v>#DIV/0!</v>
      </c>
      <c r="AJ35" s="1" t="e">
        <f t="shared" si="10"/>
        <v>#DIV/0!</v>
      </c>
      <c r="AK35" s="5"/>
      <c r="AL35" s="51"/>
      <c r="AM35" s="51"/>
      <c r="AN35" s="89"/>
    </row>
    <row r="36" spans="2:40" x14ac:dyDescent="0.3">
      <c r="B36" s="80" t="s">
        <v>43</v>
      </c>
      <c r="C36" s="81">
        <v>0.6</v>
      </c>
      <c r="D36" s="66">
        <f t="shared" si="8"/>
        <v>0.79463568224020453</v>
      </c>
      <c r="E36" s="82">
        <f>+'2 Aggregate System'!L36</f>
        <v>0</v>
      </c>
      <c r="F36" s="80">
        <v>8</v>
      </c>
      <c r="G36" s="81">
        <v>18</v>
      </c>
      <c r="H36" s="87">
        <v>25</v>
      </c>
      <c r="I36" s="88">
        <v>60</v>
      </c>
      <c r="J36" s="80">
        <v>12</v>
      </c>
      <c r="K36" s="81">
        <v>25</v>
      </c>
      <c r="L36" s="80">
        <v>15</v>
      </c>
      <c r="M36" s="81">
        <v>25</v>
      </c>
      <c r="N36" s="80"/>
      <c r="O36" s="86"/>
      <c r="P36" s="87">
        <v>20</v>
      </c>
      <c r="Q36" s="88">
        <v>4</v>
      </c>
      <c r="R36" s="1">
        <v>10</v>
      </c>
      <c r="S36" s="51">
        <v>32</v>
      </c>
      <c r="T36" s="51">
        <v>15</v>
      </c>
      <c r="U36" s="1">
        <v>32</v>
      </c>
      <c r="V36" s="51"/>
      <c r="W36" s="51"/>
      <c r="X36" s="51"/>
      <c r="AA36" s="90" t="s">
        <v>199</v>
      </c>
      <c r="AB36" s="1" t="e">
        <f>(AE28/$AE$32)*100</f>
        <v>#DIV/0!</v>
      </c>
      <c r="AD36" s="90" t="s">
        <v>199</v>
      </c>
      <c r="AE36" s="1" t="e">
        <f>(AC28/$AC$32)*100</f>
        <v>#DIV/0!</v>
      </c>
      <c r="AG36" s="70" t="s">
        <v>44</v>
      </c>
      <c r="AH36" s="83" t="e">
        <f>(('2 Aggregate System'!B36*($AE$27/SUM($AE$27:$AE$31)))+('2 Aggregate System'!C36*($AE$28/SUM($AE$27:$AE$31)))+('2 Aggregate System'!D36*($AE$29/SUM($AE$27:$AE$31)))+('2 Aggregate System'!E36*($AE$30/SUM($AE$27:$AE$31)))+('2 Aggregate System'!F36*($AE$31/SUM($AE$27:$AE$31))))/100</f>
        <v>#DIV/0!</v>
      </c>
      <c r="AI36" s="121" t="e">
        <f t="shared" si="9"/>
        <v>#DIV/0!</v>
      </c>
      <c r="AJ36" s="1" t="e">
        <f t="shared" si="10"/>
        <v>#DIV/0!</v>
      </c>
      <c r="AK36" s="5"/>
      <c r="AL36" s="51"/>
      <c r="AM36" s="51"/>
      <c r="AN36" s="89"/>
    </row>
    <row r="37" spans="2:40" x14ac:dyDescent="0.3">
      <c r="B37" s="80" t="s">
        <v>44</v>
      </c>
      <c r="C37" s="81">
        <v>0.3</v>
      </c>
      <c r="D37" s="66">
        <f t="shared" si="8"/>
        <v>0.58170736792793831</v>
      </c>
      <c r="E37" s="82">
        <f>+'2 Aggregate System'!L37</f>
        <v>0</v>
      </c>
      <c r="F37" s="80">
        <v>0</v>
      </c>
      <c r="G37" s="81">
        <v>18</v>
      </c>
      <c r="H37" s="87">
        <v>10</v>
      </c>
      <c r="I37" s="88">
        <v>30</v>
      </c>
      <c r="J37" s="80">
        <v>7</v>
      </c>
      <c r="K37" s="81">
        <v>15</v>
      </c>
      <c r="L37" s="80">
        <v>5</v>
      </c>
      <c r="M37" s="81">
        <v>15</v>
      </c>
      <c r="N37" s="80">
        <v>0</v>
      </c>
      <c r="O37" s="86">
        <f>D37</f>
        <v>0.58170736792793831</v>
      </c>
      <c r="P37" s="87">
        <v>20</v>
      </c>
      <c r="Q37" s="88">
        <v>4</v>
      </c>
      <c r="R37" s="1">
        <v>2</v>
      </c>
      <c r="S37" s="51">
        <v>14</v>
      </c>
      <c r="T37" s="51">
        <v>3</v>
      </c>
      <c r="U37" s="1">
        <v>14</v>
      </c>
      <c r="V37" s="51"/>
      <c r="W37" s="51"/>
      <c r="X37" s="51"/>
      <c r="AA37" s="90" t="s">
        <v>200</v>
      </c>
      <c r="AB37" s="1" t="e">
        <f>(AE29/$AE$32)*100</f>
        <v>#DIV/0!</v>
      </c>
      <c r="AD37" s="90" t="s">
        <v>200</v>
      </c>
      <c r="AE37" s="1" t="e">
        <f>(AC29/$AC$32)*100</f>
        <v>#DIV/0!</v>
      </c>
      <c r="AG37" s="70" t="s">
        <v>45</v>
      </c>
      <c r="AH37" s="83" t="e">
        <f>(('2 Aggregate System'!B37*($AE$27/SUM($AE$27:$AE$31)))+('2 Aggregate System'!C37*($AE$28/SUM($AE$27:$AE$31)))+('2 Aggregate System'!D37*($AE$29/SUM($AE$27:$AE$31)))+('2 Aggregate System'!E37*($AE$30/SUM($AE$27:$AE$31)))+('2 Aggregate System'!F37*($AE$31/SUM($AE$27:$AE$31))))/100</f>
        <v>#DIV/0!</v>
      </c>
      <c r="AI37" s="121" t="e">
        <f t="shared" si="9"/>
        <v>#DIV/0!</v>
      </c>
      <c r="AJ37" s="1" t="e">
        <f t="shared" si="10"/>
        <v>#DIV/0!</v>
      </c>
      <c r="AK37" s="5"/>
      <c r="AL37" s="51"/>
      <c r="AM37" s="51"/>
      <c r="AN37" s="89"/>
    </row>
    <row r="38" spans="2:40" ht="16.2" thickBot="1" x14ac:dyDescent="0.35">
      <c r="B38" s="80" t="s">
        <v>45</v>
      </c>
      <c r="C38" s="81">
        <v>0.15</v>
      </c>
      <c r="D38" s="66">
        <f t="shared" si="8"/>
        <v>0.42583471830473674</v>
      </c>
      <c r="E38" s="82">
        <f>+'2 Aggregate System'!L38</f>
        <v>0</v>
      </c>
      <c r="F38" s="80"/>
      <c r="G38" s="81">
        <v>0</v>
      </c>
      <c r="H38" s="87">
        <v>2</v>
      </c>
      <c r="I38" s="88">
        <v>10</v>
      </c>
      <c r="J38" s="80">
        <v>3</v>
      </c>
      <c r="K38" s="81">
        <v>8</v>
      </c>
      <c r="L38" s="80">
        <v>1</v>
      </c>
      <c r="M38" s="81">
        <v>8</v>
      </c>
      <c r="N38" s="80"/>
      <c r="O38" s="86"/>
      <c r="P38" s="87">
        <v>10</v>
      </c>
      <c r="Q38" s="88">
        <v>0</v>
      </c>
      <c r="R38" s="1">
        <v>0</v>
      </c>
      <c r="S38" s="51">
        <v>6</v>
      </c>
      <c r="T38" s="51">
        <v>0</v>
      </c>
      <c r="U38" s="1">
        <v>6</v>
      </c>
      <c r="V38" s="51"/>
      <c r="W38" s="51"/>
      <c r="X38" s="51"/>
      <c r="AA38" s="90" t="s">
        <v>201</v>
      </c>
      <c r="AB38" s="1" t="e">
        <f>(AE30/$AE$32)*100</f>
        <v>#DIV/0!</v>
      </c>
      <c r="AD38" s="90" t="s">
        <v>201</v>
      </c>
      <c r="AE38" s="1" t="e">
        <f>(AC30/$AC$32)*100</f>
        <v>#DIV/0!</v>
      </c>
      <c r="AG38" s="75" t="s">
        <v>46</v>
      </c>
      <c r="AH38" s="83" t="e">
        <f>(('2 Aggregate System'!B38*($AE$27/SUM($AE$27:$AE$31)))+('2 Aggregate System'!C38*($AE$28/SUM($AE$27:$AE$31)))+('2 Aggregate System'!D38*($AE$29/SUM($AE$27:$AE$31)))+('2 Aggregate System'!E38*($AE$30/SUM($AE$27:$AE$31)))+('2 Aggregate System'!F38*($AE$31/SUM($AE$27:$AE$31))))/100</f>
        <v>#DIV/0!</v>
      </c>
      <c r="AI38" s="121" t="e">
        <f t="shared" si="9"/>
        <v>#DIV/0!</v>
      </c>
      <c r="AJ38" s="1" t="e">
        <f t="shared" si="10"/>
        <v>#DIV/0!</v>
      </c>
      <c r="AK38" s="5"/>
      <c r="AL38" s="51"/>
      <c r="AM38" s="51"/>
      <c r="AN38" s="89"/>
    </row>
    <row r="39" spans="2:40" x14ac:dyDescent="0.3">
      <c r="B39" s="91" t="s">
        <v>46</v>
      </c>
      <c r="C39" s="92">
        <v>7.4999999999999997E-2</v>
      </c>
      <c r="D39" s="73">
        <f t="shared" si="8"/>
        <v>0.31172925995349998</v>
      </c>
      <c r="E39" s="93">
        <f>+'2 Aggregate System'!L40</f>
        <v>0</v>
      </c>
      <c r="F39" s="91"/>
      <c r="G39" s="92"/>
      <c r="H39" s="91">
        <v>0</v>
      </c>
      <c r="I39" s="92">
        <v>0</v>
      </c>
      <c r="J39" s="91">
        <v>0</v>
      </c>
      <c r="K39" s="92">
        <v>0</v>
      </c>
      <c r="L39" s="91">
        <v>1</v>
      </c>
      <c r="M39" s="92">
        <v>6</v>
      </c>
      <c r="N39" s="91">
        <v>0</v>
      </c>
      <c r="O39" s="94">
        <f>D39</f>
        <v>0.31172925995349998</v>
      </c>
      <c r="P39" s="95">
        <v>5</v>
      </c>
      <c r="Q39" s="96">
        <v>0</v>
      </c>
      <c r="R39" s="1">
        <v>0</v>
      </c>
      <c r="S39" s="51">
        <v>2.2999999999999998</v>
      </c>
      <c r="T39" s="51">
        <v>0</v>
      </c>
      <c r="U39" s="1">
        <v>2.2999999999999998</v>
      </c>
      <c r="V39" s="51"/>
      <c r="W39" s="51"/>
      <c r="X39" s="51"/>
      <c r="AA39" s="90" t="s">
        <v>202</v>
      </c>
      <c r="AB39" s="1" t="e">
        <f>(AE31/$AE$32)*100</f>
        <v>#DIV/0!</v>
      </c>
      <c r="AD39" s="90" t="s">
        <v>202</v>
      </c>
      <c r="AE39" s="1" t="e">
        <f>(AC31/$AC$32)*100</f>
        <v>#DIV/0!</v>
      </c>
      <c r="AK39" s="5"/>
      <c r="AL39" s="51"/>
      <c r="AM39" s="51"/>
      <c r="AN39" s="89"/>
    </row>
    <row r="40" spans="2:40" x14ac:dyDescent="0.3">
      <c r="R40" s="120">
        <f>R27/100</f>
        <v>1</v>
      </c>
      <c r="S40" s="120">
        <f>S27/100</f>
        <v>1</v>
      </c>
      <c r="T40" s="120">
        <f>T27/100</f>
        <v>1</v>
      </c>
      <c r="U40" s="120">
        <f>U27/100</f>
        <v>1</v>
      </c>
      <c r="W40" s="51"/>
      <c r="X40" s="51"/>
      <c r="AA40" s="97" t="s">
        <v>203</v>
      </c>
      <c r="AB40" s="51" t="e">
        <f>SUM(AB35:AB37)</f>
        <v>#DIV/0!</v>
      </c>
      <c r="AD40" s="97" t="s">
        <v>207</v>
      </c>
      <c r="AE40" s="51" t="e">
        <f>SUM(AE35:AE37)</f>
        <v>#DIV/0!</v>
      </c>
      <c r="AM40" s="51"/>
      <c r="AN40" s="51"/>
    </row>
    <row r="41" spans="2:40" x14ac:dyDescent="0.3">
      <c r="R41" s="120">
        <f t="shared" ref="R41:U52" si="11">R28/100</f>
        <v>0.96</v>
      </c>
      <c r="S41" s="120">
        <f t="shared" si="11"/>
        <v>1</v>
      </c>
      <c r="T41" s="120">
        <f t="shared" si="11"/>
        <v>1</v>
      </c>
      <c r="U41" s="120">
        <f t="shared" si="11"/>
        <v>1</v>
      </c>
      <c r="AA41" s="97" t="s">
        <v>204</v>
      </c>
      <c r="AB41" s="51" t="e">
        <f>SUM(AB38:AB39)</f>
        <v>#DIV/0!</v>
      </c>
      <c r="AD41" s="97" t="s">
        <v>208</v>
      </c>
      <c r="AE41" s="51" t="e">
        <f>SUM(AE38:AE39)</f>
        <v>#DIV/0!</v>
      </c>
      <c r="AG41" s="1148" t="s">
        <v>257</v>
      </c>
      <c r="AH41" s="1148"/>
      <c r="AI41" s="1" t="s">
        <v>258</v>
      </c>
    </row>
    <row r="42" spans="2:40" x14ac:dyDescent="0.3">
      <c r="R42" s="120">
        <f t="shared" si="11"/>
        <v>0.7</v>
      </c>
      <c r="S42" s="120">
        <f t="shared" si="11"/>
        <v>0.99</v>
      </c>
      <c r="T42" s="120">
        <f t="shared" si="11"/>
        <v>1</v>
      </c>
      <c r="U42" s="120">
        <f t="shared" si="11"/>
        <v>1</v>
      </c>
      <c r="AG42" s="1" t="s">
        <v>215</v>
      </c>
      <c r="AI42" s="1" t="s">
        <v>259</v>
      </c>
      <c r="AL42" s="1" t="s">
        <v>429</v>
      </c>
    </row>
    <row r="43" spans="2:40" x14ac:dyDescent="0.3">
      <c r="B43" s="1" t="s">
        <v>98</v>
      </c>
      <c r="R43" s="120">
        <f t="shared" si="11"/>
        <v>0.55000000000000004</v>
      </c>
      <c r="S43" s="120">
        <f t="shared" si="11"/>
        <v>0.96</v>
      </c>
      <c r="T43" s="120">
        <f t="shared" si="11"/>
        <v>0.95</v>
      </c>
      <c r="U43" s="120">
        <f t="shared" si="11"/>
        <v>1</v>
      </c>
    </row>
    <row r="44" spans="2:40" x14ac:dyDescent="0.3">
      <c r="R44" s="120">
        <f t="shared" si="11"/>
        <v>0.48</v>
      </c>
      <c r="S44" s="120">
        <f t="shared" si="11"/>
        <v>0.86</v>
      </c>
      <c r="T44" s="120">
        <f t="shared" si="11"/>
        <v>0.75</v>
      </c>
      <c r="U44" s="120">
        <f t="shared" si="11"/>
        <v>0.91</v>
      </c>
      <c r="AA44" s="1" t="s">
        <v>286</v>
      </c>
      <c r="AB44" s="1" t="s">
        <v>278</v>
      </c>
      <c r="AC44" s="1" t="s">
        <v>279</v>
      </c>
      <c r="AD44" s="1" t="s">
        <v>280</v>
      </c>
      <c r="AE44" s="1" t="s">
        <v>289</v>
      </c>
      <c r="AG44" s="1" t="s">
        <v>219</v>
      </c>
      <c r="AI44" s="1" t="s">
        <v>263</v>
      </c>
      <c r="AJ44" s="1" t="s">
        <v>362</v>
      </c>
      <c r="AL44" s="1" t="s">
        <v>430</v>
      </c>
    </row>
    <row r="45" spans="2:40" x14ac:dyDescent="0.3">
      <c r="B45" s="77" t="s">
        <v>99</v>
      </c>
      <c r="C45" s="98">
        <v>100</v>
      </c>
      <c r="D45" s="78">
        <v>36</v>
      </c>
      <c r="R45" s="120">
        <f t="shared" si="11"/>
        <v>0.38</v>
      </c>
      <c r="S45" s="120">
        <f t="shared" si="11"/>
        <v>0.77</v>
      </c>
      <c r="T45" s="120">
        <f t="shared" si="11"/>
        <v>0.56000000000000005</v>
      </c>
      <c r="U45" s="120">
        <f t="shared" si="11"/>
        <v>0.8</v>
      </c>
      <c r="AG45" s="1" t="s">
        <v>238</v>
      </c>
      <c r="AI45" s="1" t="s">
        <v>264</v>
      </c>
      <c r="AJ45" s="1" t="s">
        <v>363</v>
      </c>
      <c r="AL45" s="1" t="s">
        <v>431</v>
      </c>
    </row>
    <row r="46" spans="2:40" x14ac:dyDescent="0.3">
      <c r="B46" s="80"/>
      <c r="C46" s="1">
        <v>35</v>
      </c>
      <c r="D46" s="81">
        <v>45</v>
      </c>
      <c r="R46" s="120">
        <f t="shared" si="11"/>
        <v>0.3</v>
      </c>
      <c r="S46" s="120">
        <f t="shared" si="11"/>
        <v>0.6</v>
      </c>
      <c r="T46" s="120">
        <f t="shared" si="11"/>
        <v>0.42</v>
      </c>
      <c r="U46" s="120">
        <f t="shared" si="11"/>
        <v>0.6</v>
      </c>
      <c r="AA46" s="1" t="s">
        <v>283</v>
      </c>
      <c r="AB46" s="1" t="s">
        <v>274</v>
      </c>
      <c r="AC46" s="122">
        <v>565</v>
      </c>
      <c r="AD46" s="122">
        <v>0.45</v>
      </c>
      <c r="AE46" s="1">
        <v>0.42</v>
      </c>
      <c r="AG46" s="1" t="s">
        <v>216</v>
      </c>
      <c r="AI46" s="1" t="s">
        <v>260</v>
      </c>
      <c r="AL46" s="1" t="s">
        <v>432</v>
      </c>
    </row>
    <row r="47" spans="2:40" x14ac:dyDescent="0.3">
      <c r="B47" s="80" t="s">
        <v>100</v>
      </c>
      <c r="C47" s="1">
        <v>100</v>
      </c>
      <c r="D47" s="81">
        <v>27</v>
      </c>
      <c r="N47" s="6"/>
      <c r="R47" s="120">
        <f t="shared" si="11"/>
        <v>0.25</v>
      </c>
      <c r="S47" s="120">
        <f t="shared" si="11"/>
        <v>0.53</v>
      </c>
      <c r="T47" s="120">
        <f t="shared" si="11"/>
        <v>0.36</v>
      </c>
      <c r="U47" s="120">
        <f t="shared" si="11"/>
        <v>0.55000000000000004</v>
      </c>
      <c r="AA47" s="1" t="s">
        <v>284</v>
      </c>
      <c r="AB47" s="1" t="s">
        <v>275</v>
      </c>
      <c r="AC47" s="122">
        <v>400</v>
      </c>
      <c r="AD47" s="122">
        <v>0.65</v>
      </c>
      <c r="AE47" s="1">
        <v>0.42</v>
      </c>
      <c r="AG47" s="1" t="s">
        <v>217</v>
      </c>
    </row>
    <row r="48" spans="2:40" x14ac:dyDescent="0.3">
      <c r="B48" s="80"/>
      <c r="C48" s="1">
        <v>85</v>
      </c>
      <c r="D48" s="81">
        <v>27</v>
      </c>
      <c r="R48" s="120">
        <f t="shared" si="11"/>
        <v>0.2</v>
      </c>
      <c r="S48" s="120">
        <f t="shared" si="11"/>
        <v>0.44</v>
      </c>
      <c r="T48" s="120">
        <f t="shared" si="11"/>
        <v>0.27</v>
      </c>
      <c r="U48" s="120">
        <f t="shared" si="11"/>
        <v>0.45</v>
      </c>
      <c r="AA48" s="1" t="s">
        <v>285</v>
      </c>
      <c r="AB48" s="1" t="s">
        <v>122</v>
      </c>
      <c r="AC48" s="122">
        <v>660</v>
      </c>
      <c r="AD48" s="122">
        <v>0.45</v>
      </c>
      <c r="AE48" s="1">
        <v>0.45</v>
      </c>
    </row>
    <row r="49" spans="2:38" x14ac:dyDescent="0.3">
      <c r="B49" s="80"/>
      <c r="C49" s="1">
        <v>15</v>
      </c>
      <c r="D49" s="81">
        <v>37</v>
      </c>
      <c r="R49" s="120">
        <f t="shared" si="11"/>
        <v>0.1</v>
      </c>
      <c r="S49" s="120">
        <f t="shared" si="11"/>
        <v>0.32</v>
      </c>
      <c r="T49" s="120">
        <f t="shared" si="11"/>
        <v>0.15</v>
      </c>
      <c r="U49" s="120">
        <f t="shared" si="11"/>
        <v>0.32</v>
      </c>
      <c r="AA49" s="1" t="s">
        <v>287</v>
      </c>
      <c r="AB49" s="1" t="s">
        <v>276</v>
      </c>
      <c r="AC49" s="122">
        <v>823</v>
      </c>
      <c r="AD49" s="122">
        <v>0.36</v>
      </c>
      <c r="AG49" s="1" t="s">
        <v>269</v>
      </c>
    </row>
    <row r="50" spans="2:38" x14ac:dyDescent="0.3">
      <c r="B50" s="80"/>
      <c r="C50" s="1">
        <v>0</v>
      </c>
      <c r="D50" s="81">
        <v>37</v>
      </c>
      <c r="R50" s="120">
        <f t="shared" si="11"/>
        <v>0.02</v>
      </c>
      <c r="S50" s="120">
        <f t="shared" si="11"/>
        <v>0.14000000000000001</v>
      </c>
      <c r="T50" s="120">
        <f t="shared" si="11"/>
        <v>0.03</v>
      </c>
      <c r="U50" s="120">
        <f t="shared" si="11"/>
        <v>0.14000000000000001</v>
      </c>
      <c r="AA50" s="1" t="s">
        <v>288</v>
      </c>
      <c r="AG50" s="1">
        <f>COUNTIF('4 Mix Design'!D16:D18,"&gt;0")</f>
        <v>0</v>
      </c>
    </row>
    <row r="51" spans="2:38" x14ac:dyDescent="0.3">
      <c r="B51" s="80" t="s">
        <v>101</v>
      </c>
      <c r="C51" s="1">
        <v>75</v>
      </c>
      <c r="D51" s="99">
        <f>(C51-C48)/(C49-C48)*(D49-D48)+D48</f>
        <v>28.428571428571427</v>
      </c>
      <c r="R51" s="120">
        <f>R38/100</f>
        <v>0</v>
      </c>
      <c r="S51" s="120">
        <f>S38/100</f>
        <v>0.06</v>
      </c>
      <c r="T51" s="120">
        <f t="shared" ref="T51:U52" si="12">T38/100</f>
        <v>0</v>
      </c>
      <c r="U51" s="120">
        <f t="shared" si="12"/>
        <v>0.06</v>
      </c>
    </row>
    <row r="52" spans="2:38" x14ac:dyDescent="0.3">
      <c r="B52" s="80"/>
      <c r="C52" s="1">
        <v>75</v>
      </c>
      <c r="D52" s="99">
        <f>(C51-C45)/(C46-C45)*(D46-D45)+D45</f>
        <v>39.46153846153846</v>
      </c>
      <c r="R52" s="120">
        <f t="shared" si="11"/>
        <v>0</v>
      </c>
      <c r="S52" s="120">
        <f t="shared" si="11"/>
        <v>2.3E-2</v>
      </c>
      <c r="T52" s="120">
        <f t="shared" si="12"/>
        <v>0</v>
      </c>
      <c r="U52" s="120">
        <f t="shared" si="12"/>
        <v>2.3E-2</v>
      </c>
      <c r="AA52" s="1" t="s">
        <v>293</v>
      </c>
    </row>
    <row r="53" spans="2:38" ht="16.2" thickBot="1" x14ac:dyDescent="0.35">
      <c r="B53" s="80" t="s">
        <v>102</v>
      </c>
      <c r="C53" s="1">
        <v>45</v>
      </c>
      <c r="D53" s="99">
        <f>(C53-C48)/(C49-C48)*(D49-D48)+D48</f>
        <v>32.714285714285715</v>
      </c>
      <c r="AA53" s="5" t="str">
        <f>IF('6 Calculation Check'!E10="CM ERROR","CM ERROR",ROUND('4 Mix Design'!H28,1))</f>
        <v>CM ERROR</v>
      </c>
    </row>
    <row r="54" spans="2:38" ht="16.2" thickBot="1" x14ac:dyDescent="0.35">
      <c r="B54" s="91"/>
      <c r="C54" s="100">
        <v>45</v>
      </c>
      <c r="D54" s="101">
        <f>(C53-C45)/(C46-C45)*(D46-D45)+D45</f>
        <v>43.615384615384613</v>
      </c>
      <c r="P54" s="6"/>
      <c r="AB54" s="1158" t="s">
        <v>406</v>
      </c>
      <c r="AC54" s="1159"/>
      <c r="AD54" s="1159"/>
      <c r="AE54" s="1159"/>
      <c r="AF54" s="1159"/>
      <c r="AG54" s="1159"/>
      <c r="AH54" s="1159"/>
      <c r="AI54" s="1159"/>
      <c r="AJ54" s="1159"/>
      <c r="AK54" s="1159"/>
      <c r="AL54" s="1160"/>
    </row>
    <row r="55" spans="2:38" ht="16.2" thickBot="1" x14ac:dyDescent="0.35">
      <c r="AB55" s="1153" t="s">
        <v>336</v>
      </c>
      <c r="AC55" s="1154"/>
      <c r="AD55" s="1154"/>
      <c r="AE55" s="1154"/>
      <c r="AF55" s="1155"/>
      <c r="AG55" s="1153" t="s">
        <v>337</v>
      </c>
      <c r="AH55" s="1154"/>
      <c r="AI55" s="1154"/>
      <c r="AJ55" s="1154"/>
      <c r="AK55" s="1155"/>
      <c r="AL55" s="1151" t="s">
        <v>339</v>
      </c>
    </row>
    <row r="56" spans="2:38" ht="16.2" thickBot="1" x14ac:dyDescent="0.35">
      <c r="AB56" s="64" t="s">
        <v>167</v>
      </c>
      <c r="AC56" s="64" t="s">
        <v>168</v>
      </c>
      <c r="AD56" s="64" t="s">
        <v>185</v>
      </c>
      <c r="AE56" s="64" t="s">
        <v>186</v>
      </c>
      <c r="AF56" s="64" t="s">
        <v>187</v>
      </c>
      <c r="AG56" s="64" t="s">
        <v>167</v>
      </c>
      <c r="AH56" s="64" t="s">
        <v>168</v>
      </c>
      <c r="AI56" s="64" t="s">
        <v>185</v>
      </c>
      <c r="AJ56" s="64" t="s">
        <v>186</v>
      </c>
      <c r="AK56" s="64" t="s">
        <v>187</v>
      </c>
      <c r="AL56" s="1152"/>
    </row>
    <row r="57" spans="2:38" x14ac:dyDescent="0.3">
      <c r="B57" s="1" t="s">
        <v>103</v>
      </c>
      <c r="AA57" s="68" t="s">
        <v>34</v>
      </c>
      <c r="AB57" s="69" t="str">
        <f>IF(AND('2 Aggregate System'!$B$26=0,'2 Aggregate System'!$B$38=0),"-",'2 Aggregate System'!B26)</f>
        <v>-</v>
      </c>
      <c r="AC57" s="69" t="str">
        <f>IF(AND('2 Aggregate System'!$C$26=0,'2 Aggregate System'!$C$38=0),"-",'2 Aggregate System'!C26)</f>
        <v>-</v>
      </c>
      <c r="AD57" s="69" t="str">
        <f>IF(AND('2 Aggregate System'!$D$26=0,'2 Aggregate System'!$D$38=0),"-",'2 Aggregate System'!D26)</f>
        <v>-</v>
      </c>
      <c r="AE57" s="69" t="str">
        <f>IF(AND('2 Aggregate System'!$E$26=0,'2 Aggregate System'!$E$38=0),"-",'2 Aggregate System'!E26)</f>
        <v>-</v>
      </c>
      <c r="AF57" s="69" t="str">
        <f>IF(AND('2 Aggregate System'!$F$26=0,'2 Aggregate System'!$F$38=0),"-",'2 Aggregate System'!F26)</f>
        <v>-</v>
      </c>
      <c r="AG57" s="124" t="str">
        <f>IF(AB57="-","-",AB57*$AE$35/100)</f>
        <v>-</v>
      </c>
      <c r="AH57" s="124" t="str">
        <f>IF(AC57="-","-",AC57*$AE$36/100)</f>
        <v>-</v>
      </c>
      <c r="AI57" s="124" t="str">
        <f>IF(AD57="-","-",AD57*$AE$37/100)</f>
        <v>-</v>
      </c>
      <c r="AJ57" s="124" t="str">
        <f>IF(AE57="-","-",AE57*$AE$38/100)</f>
        <v>-</v>
      </c>
      <c r="AK57" s="124" t="str">
        <f>IF(AF57="-","-",AF57*$AE$39/100)</f>
        <v>-</v>
      </c>
      <c r="AL57" s="124">
        <f>SUM(AG57:AK57)</f>
        <v>0</v>
      </c>
    </row>
    <row r="58" spans="2:38" ht="16.2" thickBot="1" x14ac:dyDescent="0.35">
      <c r="AA58" s="70" t="s">
        <v>35</v>
      </c>
      <c r="AB58" s="69" t="str">
        <f>IF(AND('2 Aggregate System'!$B$26=0,'2 Aggregate System'!$B$38=0),"-",'2 Aggregate System'!B27)</f>
        <v>-</v>
      </c>
      <c r="AC58" s="69" t="str">
        <f>IF(AND('2 Aggregate System'!$C$26=0,'2 Aggregate System'!$C$38=0),"-",'2 Aggregate System'!C27)</f>
        <v>-</v>
      </c>
      <c r="AD58" s="69" t="str">
        <f>IF(AND('2 Aggregate System'!$D$26=0,'2 Aggregate System'!$D$38=0),"-",'2 Aggregate System'!D27)</f>
        <v>-</v>
      </c>
      <c r="AE58" s="69" t="str">
        <f>IF(AND('2 Aggregate System'!$E$26=0,'2 Aggregate System'!$E$38=0),"-",'2 Aggregate System'!E27)</f>
        <v>-</v>
      </c>
      <c r="AF58" s="69" t="str">
        <f>IF(AND('2 Aggregate System'!$F$26=0,'2 Aggregate System'!$F$38=0),"-",'2 Aggregate System'!F27)</f>
        <v>-</v>
      </c>
      <c r="AG58" s="124" t="str">
        <f t="shared" ref="AG58:AG69" si="13">IF(AB58="-","-",AB58*$AE$35/100)</f>
        <v>-</v>
      </c>
      <c r="AH58" s="124" t="str">
        <f t="shared" ref="AH58:AH69" si="14">IF(AC58="-","-",AC58*$AE$36/100)</f>
        <v>-</v>
      </c>
      <c r="AI58" s="124" t="str">
        <f t="shared" ref="AI58:AI69" si="15">IF(AD58="-","-",AD58*$AE$37/100)</f>
        <v>-</v>
      </c>
      <c r="AJ58" s="124" t="str">
        <f t="shared" ref="AJ58:AJ69" si="16">IF(AE58="-","-",AE58*$AE$38/100)</f>
        <v>-</v>
      </c>
      <c r="AK58" s="124" t="str">
        <f t="shared" ref="AK58:AK69" si="17">IF(AF58="-","-",AF58*$AE$39/100)</f>
        <v>-</v>
      </c>
      <c r="AL58" s="124">
        <f t="shared" ref="AL58:AL69" si="18">SUM(AG58:AK58)</f>
        <v>0</v>
      </c>
    </row>
    <row r="59" spans="2:38" x14ac:dyDescent="0.3">
      <c r="B59" s="102" t="s">
        <v>104</v>
      </c>
      <c r="C59" s="103" t="e">
        <f>'2 Aggregate System'!#REF!</f>
        <v>#REF!</v>
      </c>
      <c r="D59" s="102" t="s">
        <v>94</v>
      </c>
      <c r="E59" s="104"/>
      <c r="F59" s="7"/>
      <c r="G59" s="102" t="s">
        <v>95</v>
      </c>
      <c r="H59" s="104"/>
      <c r="I59" s="7"/>
      <c r="J59" s="7"/>
      <c r="K59" s="7"/>
      <c r="L59" s="104"/>
      <c r="AA59" s="70" t="s">
        <v>36</v>
      </c>
      <c r="AB59" s="69" t="str">
        <f>IF(AND('2 Aggregate System'!$B$26=0,'2 Aggregate System'!$B$38=0),"-",'2 Aggregate System'!B28)</f>
        <v>-</v>
      </c>
      <c r="AC59" s="69" t="str">
        <f>IF(AND('2 Aggregate System'!$C$26=0,'2 Aggregate System'!$C$38=0),"-",'2 Aggregate System'!C28)</f>
        <v>-</v>
      </c>
      <c r="AD59" s="69" t="str">
        <f>IF(AND('2 Aggregate System'!$D$26=0,'2 Aggregate System'!$D$38=0),"-",'2 Aggregate System'!D28)</f>
        <v>-</v>
      </c>
      <c r="AE59" s="69" t="str">
        <f>IF(AND('2 Aggregate System'!$E$26=0,'2 Aggregate System'!$E$38=0),"-",'2 Aggregate System'!E28)</f>
        <v>-</v>
      </c>
      <c r="AF59" s="69" t="str">
        <f>IF(AND('2 Aggregate System'!$F$26=0,'2 Aggregate System'!$F$38=0),"-",'2 Aggregate System'!F28)</f>
        <v>-</v>
      </c>
      <c r="AG59" s="124" t="str">
        <f t="shared" si="13"/>
        <v>-</v>
      </c>
      <c r="AH59" s="124" t="str">
        <f t="shared" si="14"/>
        <v>-</v>
      </c>
      <c r="AI59" s="124" t="str">
        <f t="shared" si="15"/>
        <v>-</v>
      </c>
      <c r="AJ59" s="124" t="str">
        <f t="shared" si="16"/>
        <v>-</v>
      </c>
      <c r="AK59" s="124" t="str">
        <f t="shared" si="17"/>
        <v>-</v>
      </c>
      <c r="AL59" s="124">
        <f t="shared" si="18"/>
        <v>0</v>
      </c>
    </row>
    <row r="60" spans="2:38" x14ac:dyDescent="0.3">
      <c r="B60" s="2"/>
      <c r="C60" s="105"/>
      <c r="D60" s="106">
        <v>0.31172925995349998</v>
      </c>
      <c r="E60" s="107"/>
      <c r="G60" s="2"/>
      <c r="H60" s="107"/>
      <c r="L60" s="107"/>
      <c r="AA60" s="70" t="s">
        <v>37</v>
      </c>
      <c r="AB60" s="69" t="str">
        <f>IF(AND('2 Aggregate System'!$B$26=0,'2 Aggregate System'!$B$38=0),"-",'2 Aggregate System'!B29)</f>
        <v>-</v>
      </c>
      <c r="AC60" s="69" t="str">
        <f>IF(AND('2 Aggregate System'!$C$26=0,'2 Aggregate System'!$C$38=0),"-",'2 Aggregate System'!C29)</f>
        <v>-</v>
      </c>
      <c r="AD60" s="69" t="str">
        <f>IF(AND('2 Aggregate System'!$D$26=0,'2 Aggregate System'!$D$38=0),"-",'2 Aggregate System'!D29)</f>
        <v>-</v>
      </c>
      <c r="AE60" s="69" t="str">
        <f>IF(AND('2 Aggregate System'!$E$26=0,'2 Aggregate System'!$E$38=0),"-",'2 Aggregate System'!E29)</f>
        <v>-</v>
      </c>
      <c r="AF60" s="69" t="str">
        <f>IF(AND('2 Aggregate System'!$F$26=0,'2 Aggregate System'!$F$38=0),"-",'2 Aggregate System'!F29)</f>
        <v>-</v>
      </c>
      <c r="AG60" s="124" t="str">
        <f t="shared" si="13"/>
        <v>-</v>
      </c>
      <c r="AH60" s="124" t="str">
        <f t="shared" si="14"/>
        <v>-</v>
      </c>
      <c r="AI60" s="124" t="str">
        <f t="shared" si="15"/>
        <v>-</v>
      </c>
      <c r="AJ60" s="124" t="str">
        <f t="shared" si="16"/>
        <v>-</v>
      </c>
      <c r="AK60" s="124" t="str">
        <f t="shared" si="17"/>
        <v>-</v>
      </c>
      <c r="AL60" s="124">
        <f t="shared" si="18"/>
        <v>0</v>
      </c>
    </row>
    <row r="61" spans="2:38" x14ac:dyDescent="0.3">
      <c r="B61" s="2"/>
      <c r="D61" s="106">
        <f>D62</f>
        <v>1.1899115514578733</v>
      </c>
      <c r="E61" s="107">
        <v>0</v>
      </c>
      <c r="G61" s="106">
        <v>0.31172925995349998</v>
      </c>
      <c r="H61" s="108">
        <v>0</v>
      </c>
      <c r="L61" s="107"/>
      <c r="AA61" s="70" t="s">
        <v>38</v>
      </c>
      <c r="AB61" s="69" t="str">
        <f>IF(AND('2 Aggregate System'!$B$26=0,'2 Aggregate System'!$B$38=0),"-",'2 Aggregate System'!B30)</f>
        <v>-</v>
      </c>
      <c r="AC61" s="69" t="str">
        <f>IF(AND('2 Aggregate System'!$C$26=0,'2 Aggregate System'!$C$38=0),"-",'2 Aggregate System'!C30)</f>
        <v>-</v>
      </c>
      <c r="AD61" s="69" t="str">
        <f>IF(AND('2 Aggregate System'!$D$26=0,'2 Aggregate System'!$D$38=0),"-",'2 Aggregate System'!D30)</f>
        <v>-</v>
      </c>
      <c r="AE61" s="69" t="str">
        <f>IF(AND('2 Aggregate System'!$E$26=0,'2 Aggregate System'!$E$38=0),"-",'2 Aggregate System'!E30)</f>
        <v>-</v>
      </c>
      <c r="AF61" s="69" t="str">
        <f>IF(AND('2 Aggregate System'!$F$26=0,'2 Aggregate System'!$F$38=0),"-",'2 Aggregate System'!F30)</f>
        <v>-</v>
      </c>
      <c r="AG61" s="124" t="str">
        <f t="shared" si="13"/>
        <v>-</v>
      </c>
      <c r="AH61" s="124" t="str">
        <f t="shared" si="14"/>
        <v>-</v>
      </c>
      <c r="AI61" s="124" t="str">
        <f t="shared" si="15"/>
        <v>-</v>
      </c>
      <c r="AJ61" s="124" t="str">
        <f t="shared" si="16"/>
        <v>-</v>
      </c>
      <c r="AK61" s="124" t="str">
        <f t="shared" si="17"/>
        <v>-</v>
      </c>
      <c r="AL61" s="124">
        <f t="shared" si="18"/>
        <v>0</v>
      </c>
    </row>
    <row r="62" spans="2:38" x14ac:dyDescent="0.3">
      <c r="B62" s="2"/>
      <c r="D62" s="106">
        <f>'5 Agg Analysis'!D34^0.45</f>
        <v>1.1899115514578733</v>
      </c>
      <c r="E62" s="109" t="e">
        <f>((D62-D60)/(D64-D60))*E64</f>
        <v>#REF!</v>
      </c>
      <c r="G62" s="106">
        <f>'5 Agg Analysis'!D31</f>
        <v>3.116086507375345</v>
      </c>
      <c r="H62" s="108" t="e">
        <f>(G62-G61)/(G63-G61)*H63</f>
        <v>#REF!</v>
      </c>
      <c r="L62" s="107"/>
      <c r="AA62" s="70" t="s">
        <v>39</v>
      </c>
      <c r="AB62" s="69" t="str">
        <f>IF(AND('2 Aggregate System'!$B$26=0,'2 Aggregate System'!$B$38=0),"-",'2 Aggregate System'!B31)</f>
        <v>-</v>
      </c>
      <c r="AC62" s="69" t="str">
        <f>IF(AND('2 Aggregate System'!$C$26=0,'2 Aggregate System'!$C$38=0),"-",'2 Aggregate System'!C31)</f>
        <v>-</v>
      </c>
      <c r="AD62" s="69" t="str">
        <f>IF(AND('2 Aggregate System'!$D$26=0,'2 Aggregate System'!$D$38=0),"-",'2 Aggregate System'!D31)</f>
        <v>-</v>
      </c>
      <c r="AE62" s="69" t="str">
        <f>IF(AND('2 Aggregate System'!$E$26=0,'2 Aggregate System'!$E$38=0),"-",'2 Aggregate System'!E31)</f>
        <v>-</v>
      </c>
      <c r="AF62" s="69" t="str">
        <f>IF(AND('2 Aggregate System'!$F$26=0,'2 Aggregate System'!$F$38=0),"-",'2 Aggregate System'!F31)</f>
        <v>-</v>
      </c>
      <c r="AG62" s="124" t="str">
        <f t="shared" si="13"/>
        <v>-</v>
      </c>
      <c r="AH62" s="124" t="str">
        <f t="shared" si="14"/>
        <v>-</v>
      </c>
      <c r="AI62" s="124" t="str">
        <f t="shared" si="15"/>
        <v>-</v>
      </c>
      <c r="AJ62" s="124" t="str">
        <f t="shared" si="16"/>
        <v>-</v>
      </c>
      <c r="AK62" s="124" t="str">
        <f t="shared" si="17"/>
        <v>-</v>
      </c>
      <c r="AL62" s="124">
        <f t="shared" si="18"/>
        <v>0</v>
      </c>
    </row>
    <row r="63" spans="2:38" ht="16.2" thickBot="1" x14ac:dyDescent="0.35">
      <c r="B63" s="2"/>
      <c r="D63" s="106">
        <f>'5 Agg Analysis'!D31</f>
        <v>3.116086507375345</v>
      </c>
      <c r="E63" s="109" t="e">
        <f>((D63-D60)/(D64-D60))*E64</f>
        <v>#REF!</v>
      </c>
      <c r="G63" s="106" t="e">
        <f>E68</f>
        <v>#REF!</v>
      </c>
      <c r="H63" s="107">
        <v>100</v>
      </c>
      <c r="L63" s="107"/>
      <c r="AA63" s="70" t="s">
        <v>40</v>
      </c>
      <c r="AB63" s="69" t="str">
        <f>IF(AND('2 Aggregate System'!$B$26=0,'2 Aggregate System'!$B$38=0),"-",'2 Aggregate System'!B32)</f>
        <v>-</v>
      </c>
      <c r="AC63" s="69" t="str">
        <f>IF(AND('2 Aggregate System'!$C$26=0,'2 Aggregate System'!$C$38=0),"-",'2 Aggregate System'!C32)</f>
        <v>-</v>
      </c>
      <c r="AD63" s="69" t="str">
        <f>IF(AND('2 Aggregate System'!$D$26=0,'2 Aggregate System'!$D$38=0),"-",'2 Aggregate System'!D32)</f>
        <v>-</v>
      </c>
      <c r="AE63" s="69" t="str">
        <f>IF(AND('2 Aggregate System'!$E$26=0,'2 Aggregate System'!$E$38=0),"-",'2 Aggregate System'!E32)</f>
        <v>-</v>
      </c>
      <c r="AF63" s="69" t="str">
        <f>IF(AND('2 Aggregate System'!$F$26=0,'2 Aggregate System'!$F$38=0),"-",'2 Aggregate System'!F32)</f>
        <v>-</v>
      </c>
      <c r="AG63" s="124" t="str">
        <f t="shared" si="13"/>
        <v>-</v>
      </c>
      <c r="AH63" s="124" t="str">
        <f t="shared" si="14"/>
        <v>-</v>
      </c>
      <c r="AI63" s="124" t="str">
        <f t="shared" si="15"/>
        <v>-</v>
      </c>
      <c r="AJ63" s="124" t="str">
        <f t="shared" si="16"/>
        <v>-</v>
      </c>
      <c r="AK63" s="124" t="str">
        <f t="shared" si="17"/>
        <v>-</v>
      </c>
      <c r="AL63" s="124">
        <f t="shared" si="18"/>
        <v>0</v>
      </c>
    </row>
    <row r="64" spans="2:38" x14ac:dyDescent="0.3">
      <c r="B64" s="2"/>
      <c r="D64" s="106" t="e">
        <f>E66</f>
        <v>#REF!</v>
      </c>
      <c r="E64" s="107">
        <v>100</v>
      </c>
      <c r="G64" s="2"/>
      <c r="H64" s="107"/>
      <c r="M64" s="110">
        <f>'5 Agg Analysis'!D29</f>
        <v>4.2566996126039234</v>
      </c>
      <c r="N64" s="104">
        <v>100</v>
      </c>
      <c r="AA64" s="70" t="s">
        <v>41</v>
      </c>
      <c r="AB64" s="69" t="str">
        <f>IF(AND('2 Aggregate System'!$B$26=0,'2 Aggregate System'!$B$38=0),"-",'2 Aggregate System'!B33)</f>
        <v>-</v>
      </c>
      <c r="AC64" s="69" t="str">
        <f>IF(AND('2 Aggregate System'!$C$26=0,'2 Aggregate System'!$C$38=0),"-",'2 Aggregate System'!C33)</f>
        <v>-</v>
      </c>
      <c r="AD64" s="69" t="str">
        <f>IF(AND('2 Aggregate System'!$D$26=0,'2 Aggregate System'!$D$38=0),"-",'2 Aggregate System'!D33)</f>
        <v>-</v>
      </c>
      <c r="AE64" s="69" t="str">
        <f>IF(AND('2 Aggregate System'!$E$26=0,'2 Aggregate System'!$E$38=0),"-",'2 Aggregate System'!E33)</f>
        <v>-</v>
      </c>
      <c r="AF64" s="69" t="str">
        <f>IF(AND('2 Aggregate System'!$F$26=0,'2 Aggregate System'!$F$38=0),"-",'2 Aggregate System'!F33)</f>
        <v>-</v>
      </c>
      <c r="AG64" s="124" t="str">
        <f t="shared" si="13"/>
        <v>-</v>
      </c>
      <c r="AH64" s="124" t="str">
        <f t="shared" si="14"/>
        <v>-</v>
      </c>
      <c r="AI64" s="124" t="str">
        <f t="shared" si="15"/>
        <v>-</v>
      </c>
      <c r="AJ64" s="124" t="str">
        <f t="shared" si="16"/>
        <v>-</v>
      </c>
      <c r="AK64" s="124" t="str">
        <f t="shared" si="17"/>
        <v>-</v>
      </c>
      <c r="AL64" s="124">
        <f t="shared" si="18"/>
        <v>0</v>
      </c>
    </row>
    <row r="65" spans="2:38" ht="16.2" thickBot="1" x14ac:dyDescent="0.35">
      <c r="B65" s="50"/>
      <c r="C65" s="8"/>
      <c r="D65" s="50"/>
      <c r="E65" s="111"/>
      <c r="F65" s="8"/>
      <c r="G65" s="50"/>
      <c r="H65" s="111"/>
      <c r="I65" s="8"/>
      <c r="J65" s="8"/>
      <c r="K65" s="8"/>
      <c r="L65" s="8"/>
      <c r="M65" s="106">
        <v>0.31172925995349998</v>
      </c>
      <c r="N65" s="107">
        <v>0</v>
      </c>
      <c r="AA65" s="70" t="s">
        <v>42</v>
      </c>
      <c r="AB65" s="69" t="str">
        <f>IF(AND('2 Aggregate System'!$B$26=0,'2 Aggregate System'!$B$38=0),"-",'2 Aggregate System'!B34)</f>
        <v>-</v>
      </c>
      <c r="AC65" s="69" t="str">
        <f>IF(AND('2 Aggregate System'!$C$26=0,'2 Aggregate System'!$C$38=0),"-",'2 Aggregate System'!C34)</f>
        <v>-</v>
      </c>
      <c r="AD65" s="69" t="str">
        <f>IF(AND('2 Aggregate System'!$D$26=0,'2 Aggregate System'!$D$38=0),"-",'2 Aggregate System'!D34)</f>
        <v>-</v>
      </c>
      <c r="AE65" s="69" t="str">
        <f>IF(AND('2 Aggregate System'!$E$26=0,'2 Aggregate System'!$E$38=0),"-",'2 Aggregate System'!E34)</f>
        <v>-</v>
      </c>
      <c r="AF65" s="69" t="str">
        <f>IF(AND('2 Aggregate System'!$F$26=0,'2 Aggregate System'!$F$38=0),"-",'2 Aggregate System'!F34)</f>
        <v>-</v>
      </c>
      <c r="AG65" s="124" t="str">
        <f t="shared" si="13"/>
        <v>-</v>
      </c>
      <c r="AH65" s="124" t="str">
        <f t="shared" si="14"/>
        <v>-</v>
      </c>
      <c r="AI65" s="124" t="str">
        <f t="shared" si="15"/>
        <v>-</v>
      </c>
      <c r="AJ65" s="124" t="str">
        <f t="shared" si="16"/>
        <v>-</v>
      </c>
      <c r="AK65" s="124" t="str">
        <f t="shared" si="17"/>
        <v>-</v>
      </c>
      <c r="AL65" s="124">
        <f t="shared" si="18"/>
        <v>0</v>
      </c>
    </row>
    <row r="66" spans="2:38" x14ac:dyDescent="0.3">
      <c r="B66" s="2"/>
      <c r="D66" s="112" t="e">
        <f>VLOOKUP(D67,H66:J71,3)</f>
        <v>#REF!</v>
      </c>
      <c r="E66" s="112" t="e">
        <f>VLOOKUP(D66,H66:L71,5)</f>
        <v>#REF!</v>
      </c>
      <c r="F66" s="112">
        <v>0.31172925995349998</v>
      </c>
      <c r="H66" s="110">
        <v>0.5</v>
      </c>
      <c r="I66" s="112">
        <f>I68/2</f>
        <v>0.375</v>
      </c>
      <c r="J66" s="112">
        <v>0.75</v>
      </c>
      <c r="K66" s="112">
        <v>12.5</v>
      </c>
      <c r="L66" s="113">
        <f t="shared" ref="L66:L71" si="19">K66^0.45</f>
        <v>3.116086507375345</v>
      </c>
      <c r="M66" s="106"/>
      <c r="N66" s="107"/>
      <c r="AA66" s="70" t="s">
        <v>43</v>
      </c>
      <c r="AB66" s="69" t="str">
        <f>IF(AND('2 Aggregate System'!$B$26=0,'2 Aggregate System'!$B$38=0),"-",'2 Aggregate System'!B35)</f>
        <v>-</v>
      </c>
      <c r="AC66" s="69" t="str">
        <f>IF(AND('2 Aggregate System'!$C$26=0,'2 Aggregate System'!$C$38=0),"-",'2 Aggregate System'!C35)</f>
        <v>-</v>
      </c>
      <c r="AD66" s="69" t="str">
        <f>IF(AND('2 Aggregate System'!$D$26=0,'2 Aggregate System'!$D$38=0),"-",'2 Aggregate System'!D35)</f>
        <v>-</v>
      </c>
      <c r="AE66" s="69" t="str">
        <f>IF(AND('2 Aggregate System'!$E$26=0,'2 Aggregate System'!$E$38=0),"-",'2 Aggregate System'!E35)</f>
        <v>-</v>
      </c>
      <c r="AF66" s="69" t="str">
        <f>IF(AND('2 Aggregate System'!$F$26=0,'2 Aggregate System'!$F$38=0),"-",'2 Aggregate System'!F35)</f>
        <v>-</v>
      </c>
      <c r="AG66" s="124" t="str">
        <f t="shared" si="13"/>
        <v>-</v>
      </c>
      <c r="AH66" s="124" t="str">
        <f t="shared" si="14"/>
        <v>-</v>
      </c>
      <c r="AI66" s="124" t="str">
        <f t="shared" si="15"/>
        <v>-</v>
      </c>
      <c r="AJ66" s="124" t="str">
        <f t="shared" si="16"/>
        <v>-</v>
      </c>
      <c r="AK66" s="124" t="str">
        <f t="shared" si="17"/>
        <v>-</v>
      </c>
      <c r="AL66" s="124">
        <f t="shared" si="18"/>
        <v>0</v>
      </c>
    </row>
    <row r="67" spans="2:38" x14ac:dyDescent="0.3">
      <c r="B67" s="2"/>
      <c r="C67" s="97" t="s">
        <v>105</v>
      </c>
      <c r="D67" s="6" t="e">
        <f>C59</f>
        <v>#REF!</v>
      </c>
      <c r="E67" s="6" t="e">
        <f>VLOOKUP(D67,H66:L71,5)</f>
        <v>#REF!</v>
      </c>
      <c r="F67" s="6">
        <v>0.31172925995349998</v>
      </c>
      <c r="H67" s="106">
        <v>0.75</v>
      </c>
      <c r="I67" s="6">
        <v>0.5</v>
      </c>
      <c r="J67" s="6">
        <v>1</v>
      </c>
      <c r="K67" s="6">
        <v>19.5</v>
      </c>
      <c r="L67" s="114">
        <f t="shared" si="19"/>
        <v>3.8064100829378442</v>
      </c>
      <c r="M67" s="106">
        <f>'5 Agg Analysis'!D28</f>
        <v>5.1087431744234335</v>
      </c>
      <c r="N67" s="107">
        <v>100</v>
      </c>
      <c r="AA67" s="70" t="s">
        <v>44</v>
      </c>
      <c r="AB67" s="69" t="str">
        <f>IF(AND('2 Aggregate System'!$B$26=0,'2 Aggregate System'!$B$38=0),"-",'2 Aggregate System'!B36)</f>
        <v>-</v>
      </c>
      <c r="AC67" s="69" t="str">
        <f>IF(AND('2 Aggregate System'!$C$26=0,'2 Aggregate System'!$C$38=0),"-",'2 Aggregate System'!C36)</f>
        <v>-</v>
      </c>
      <c r="AD67" s="69" t="str">
        <f>IF(AND('2 Aggregate System'!$D$26=0,'2 Aggregate System'!$D$38=0),"-",'2 Aggregate System'!D36)</f>
        <v>-</v>
      </c>
      <c r="AE67" s="69" t="str">
        <f>IF(AND('2 Aggregate System'!$E$26=0,'2 Aggregate System'!$E$38=0),"-",'2 Aggregate System'!E36)</f>
        <v>-</v>
      </c>
      <c r="AF67" s="69" t="str">
        <f>IF(AND('2 Aggregate System'!$F$26=0,'2 Aggregate System'!$F$38=0),"-",'2 Aggregate System'!F36)</f>
        <v>-</v>
      </c>
      <c r="AG67" s="124" t="str">
        <f t="shared" si="13"/>
        <v>-</v>
      </c>
      <c r="AH67" s="124" t="str">
        <f t="shared" si="14"/>
        <v>-</v>
      </c>
      <c r="AI67" s="124" t="str">
        <f t="shared" si="15"/>
        <v>-</v>
      </c>
      <c r="AJ67" s="124" t="str">
        <f t="shared" si="16"/>
        <v>-</v>
      </c>
      <c r="AK67" s="124" t="str">
        <f t="shared" si="17"/>
        <v>-</v>
      </c>
      <c r="AL67" s="124">
        <f t="shared" si="18"/>
        <v>0</v>
      </c>
    </row>
    <row r="68" spans="2:38" x14ac:dyDescent="0.3">
      <c r="B68" s="2"/>
      <c r="D68" s="6" t="e">
        <f>VLOOKUP(D67,H66:J71,2)</f>
        <v>#REF!</v>
      </c>
      <c r="E68" s="6" t="e">
        <f>VLOOKUP(D68,H66:L71,5)</f>
        <v>#REF!</v>
      </c>
      <c r="F68" s="6">
        <v>0.31172925995349998</v>
      </c>
      <c r="H68" s="106">
        <v>1</v>
      </c>
      <c r="I68" s="6">
        <v>0.75</v>
      </c>
      <c r="J68" s="6">
        <v>1.5</v>
      </c>
      <c r="K68" s="6">
        <v>25</v>
      </c>
      <c r="L68" s="114">
        <f t="shared" si="19"/>
        <v>4.2566996126039234</v>
      </c>
      <c r="M68" s="106">
        <v>0.31172925995349998</v>
      </c>
      <c r="N68" s="107">
        <v>0</v>
      </c>
      <c r="AA68" s="70" t="s">
        <v>45</v>
      </c>
      <c r="AB68" s="69" t="str">
        <f>IF(AND('2 Aggregate System'!$B$26=0,'2 Aggregate System'!$B$38=0),"-",'2 Aggregate System'!B37)</f>
        <v>-</v>
      </c>
      <c r="AC68" s="69" t="str">
        <f>IF(AND('2 Aggregate System'!$C$26=0,'2 Aggregate System'!$C$38=0),"-",'2 Aggregate System'!C37)</f>
        <v>-</v>
      </c>
      <c r="AD68" s="69" t="str">
        <f>IF(AND('2 Aggregate System'!$D$26=0,'2 Aggregate System'!$D$38=0),"-",'2 Aggregate System'!D37)</f>
        <v>-</v>
      </c>
      <c r="AE68" s="69" t="str">
        <f>IF(AND('2 Aggregate System'!$E$26=0,'2 Aggregate System'!$E$38=0),"-",'2 Aggregate System'!E37)</f>
        <v>-</v>
      </c>
      <c r="AF68" s="69" t="str">
        <f>IF(AND('2 Aggregate System'!$F$26=0,'2 Aggregate System'!$F$38=0),"-",'2 Aggregate System'!F37)</f>
        <v>-</v>
      </c>
      <c r="AG68" s="124" t="str">
        <f t="shared" si="13"/>
        <v>-</v>
      </c>
      <c r="AH68" s="124" t="str">
        <f t="shared" si="14"/>
        <v>-</v>
      </c>
      <c r="AI68" s="124" t="str">
        <f t="shared" si="15"/>
        <v>-</v>
      </c>
      <c r="AJ68" s="124" t="str">
        <f t="shared" si="16"/>
        <v>-</v>
      </c>
      <c r="AK68" s="124" t="str">
        <f t="shared" si="17"/>
        <v>-</v>
      </c>
      <c r="AL68" s="124">
        <f t="shared" si="18"/>
        <v>0</v>
      </c>
    </row>
    <row r="69" spans="2:38" ht="16.2" thickBot="1" x14ac:dyDescent="0.35">
      <c r="B69" s="2"/>
      <c r="H69" s="106">
        <v>1.5</v>
      </c>
      <c r="I69" s="6">
        <v>1</v>
      </c>
      <c r="J69" s="6">
        <v>2</v>
      </c>
      <c r="K69" s="6">
        <v>37.5</v>
      </c>
      <c r="L69" s="114">
        <f t="shared" si="19"/>
        <v>5.1087431744234335</v>
      </c>
      <c r="M69" s="106"/>
      <c r="N69" s="107"/>
      <c r="AA69" s="75" t="s">
        <v>46</v>
      </c>
      <c r="AB69" s="76" t="str">
        <f>IF(AND('2 Aggregate System'!$B$26=0,'2 Aggregate System'!$B$38=0),"-",'2 Aggregate System'!B38)</f>
        <v>-</v>
      </c>
      <c r="AC69" s="76" t="str">
        <f>IF(AND('2 Aggregate System'!$C$26=0,'2 Aggregate System'!$C$38=0),"-",'2 Aggregate System'!C38)</f>
        <v>-</v>
      </c>
      <c r="AD69" s="76" t="str">
        <f>IF(AND('2 Aggregate System'!$D$26=0,'2 Aggregate System'!$D$38=0),"-",'2 Aggregate System'!D38)</f>
        <v>-</v>
      </c>
      <c r="AE69" s="76" t="str">
        <f>IF(AND('2 Aggregate System'!$E$26=0,'2 Aggregate System'!$E$38=0),"-",'2 Aggregate System'!E38)</f>
        <v>-</v>
      </c>
      <c r="AF69" s="76" t="str">
        <f>IF(AND('2 Aggregate System'!$F$26=0,'2 Aggregate System'!$F$38=0),"-",'2 Aggregate System'!F38)</f>
        <v>-</v>
      </c>
      <c r="AG69" s="125" t="str">
        <f t="shared" si="13"/>
        <v>-</v>
      </c>
      <c r="AH69" s="125" t="str">
        <f t="shared" si="14"/>
        <v>-</v>
      </c>
      <c r="AI69" s="125" t="str">
        <f t="shared" si="15"/>
        <v>-</v>
      </c>
      <c r="AJ69" s="125" t="str">
        <f t="shared" si="16"/>
        <v>-</v>
      </c>
      <c r="AK69" s="125" t="str">
        <f t="shared" si="17"/>
        <v>-</v>
      </c>
      <c r="AL69" s="125">
        <f t="shared" si="18"/>
        <v>0</v>
      </c>
    </row>
    <row r="70" spans="2:38" ht="16.2" thickBot="1" x14ac:dyDescent="0.35">
      <c r="B70" s="2"/>
      <c r="E70" s="6">
        <v>0.31172925995349998</v>
      </c>
      <c r="F70" s="6">
        <v>0</v>
      </c>
      <c r="H70" s="106">
        <v>2</v>
      </c>
      <c r="I70" s="6">
        <v>1.5</v>
      </c>
      <c r="J70" s="6">
        <v>3</v>
      </c>
      <c r="K70" s="6">
        <v>50</v>
      </c>
      <c r="L70" s="114">
        <f t="shared" si="19"/>
        <v>5.8148230317277987</v>
      </c>
      <c r="M70" s="106">
        <f>'5 Agg Analysis'!D30</f>
        <v>3.8064100829378442</v>
      </c>
      <c r="N70" s="107">
        <v>100</v>
      </c>
    </row>
    <row r="71" spans="2:38" ht="16.2" thickBot="1" x14ac:dyDescent="0.35">
      <c r="B71" s="50"/>
      <c r="C71" s="8"/>
      <c r="D71" s="8"/>
      <c r="E71" s="8"/>
      <c r="F71" s="8"/>
      <c r="G71" s="8"/>
      <c r="H71" s="115">
        <v>3</v>
      </c>
      <c r="I71" s="116">
        <v>2</v>
      </c>
      <c r="J71" s="116">
        <v>4</v>
      </c>
      <c r="K71" s="116">
        <v>75</v>
      </c>
      <c r="L71" s="117">
        <f t="shared" si="19"/>
        <v>6.9787488376816533</v>
      </c>
      <c r="M71" s="115">
        <v>0.31172925995349998</v>
      </c>
      <c r="N71" s="111">
        <v>0</v>
      </c>
      <c r="AB71" s="1158" t="s">
        <v>407</v>
      </c>
      <c r="AC71" s="1159"/>
      <c r="AD71" s="1159"/>
      <c r="AE71" s="1159"/>
      <c r="AF71" s="1159"/>
      <c r="AG71" s="1159"/>
      <c r="AH71" s="1159"/>
      <c r="AI71" s="1159"/>
      <c r="AJ71" s="1159"/>
      <c r="AK71" s="1159"/>
      <c r="AL71" s="1160"/>
    </row>
    <row r="72" spans="2:38" ht="16.2" thickBot="1" x14ac:dyDescent="0.35">
      <c r="AB72" s="1153" t="s">
        <v>336</v>
      </c>
      <c r="AC72" s="1154"/>
      <c r="AD72" s="1154"/>
      <c r="AE72" s="1154"/>
      <c r="AF72" s="1155"/>
      <c r="AG72" s="1153" t="s">
        <v>337</v>
      </c>
      <c r="AH72" s="1154"/>
      <c r="AI72" s="1154"/>
      <c r="AJ72" s="1154"/>
      <c r="AK72" s="1155"/>
      <c r="AL72" s="1151" t="s">
        <v>339</v>
      </c>
    </row>
    <row r="73" spans="2:38" ht="16.2" thickBot="1" x14ac:dyDescent="0.35">
      <c r="AB73" s="64" t="s">
        <v>167</v>
      </c>
      <c r="AC73" s="64" t="s">
        <v>168</v>
      </c>
      <c r="AD73" s="64" t="s">
        <v>185</v>
      </c>
      <c r="AE73" s="64" t="s">
        <v>186</v>
      </c>
      <c r="AF73" s="64" t="s">
        <v>187</v>
      </c>
      <c r="AG73" s="64" t="s">
        <v>167</v>
      </c>
      <c r="AH73" s="64" t="s">
        <v>168</v>
      </c>
      <c r="AI73" s="64" t="s">
        <v>185</v>
      </c>
      <c r="AJ73" s="64" t="s">
        <v>186</v>
      </c>
      <c r="AK73" s="64" t="s">
        <v>187</v>
      </c>
      <c r="AL73" s="1152"/>
    </row>
    <row r="74" spans="2:38" x14ac:dyDescent="0.3">
      <c r="AA74" s="68" t="s">
        <v>34</v>
      </c>
      <c r="AB74" s="592" t="str">
        <f>IF(AND('2 Aggregate System'!$B$26=0,'2 Aggregate System'!$B$38=0),"-",'2 Aggregate System'!B26)</f>
        <v>-</v>
      </c>
      <c r="AC74" s="592" t="str">
        <f>IF(AND('2 Aggregate System'!$C$26=0,'2 Aggregate System'!$C$38=0),"-",'2 Aggregate System'!C26)</f>
        <v>-</v>
      </c>
      <c r="AD74" s="592" t="str">
        <f>IF(AND('2 Aggregate System'!$D$26=0,'2 Aggregate System'!$D$38=0),"-",'2 Aggregate System'!D26)</f>
        <v>-</v>
      </c>
      <c r="AE74" s="592" t="str">
        <f>IF(AND('2 Aggregate System'!$E$26=0,'2 Aggregate System'!$E$38=0),"-",'2 Aggregate System'!E26)</f>
        <v>-</v>
      </c>
      <c r="AF74" s="592" t="str">
        <f>IF(AND('2 Aggregate System'!$F$26=0,'2 Aggregate System'!$F$38=0),"-",'2 Aggregate System'!F26)</f>
        <v>-</v>
      </c>
      <c r="AG74" s="124" t="str">
        <f>IF(AB74="-","-",AB74*$AB$91/100)</f>
        <v>-</v>
      </c>
      <c r="AH74" s="124" t="str">
        <f>IF(AC74="-","-",AC74*$AB$92/100)</f>
        <v>-</v>
      </c>
      <c r="AI74" s="124" t="str">
        <f>IF(AD74="-","-",AD74*$AB$93/100)</f>
        <v>-</v>
      </c>
      <c r="AJ74" s="124" t="str">
        <f>IF(AE74="-","-",AE74*$AB$94/100)</f>
        <v>-</v>
      </c>
      <c r="AK74" s="124" t="str">
        <f>IF(AF74="-","-",AF74*$AB$95/100)</f>
        <v>-</v>
      </c>
      <c r="AL74" s="124">
        <f>SUM(AG74:AK74)</f>
        <v>0</v>
      </c>
    </row>
    <row r="75" spans="2:38" x14ac:dyDescent="0.3">
      <c r="AA75" s="70" t="s">
        <v>35</v>
      </c>
      <c r="AB75" s="69" t="str">
        <f>IF(AND('2 Aggregate System'!$B$26=0,'2 Aggregate System'!$B$38=0),"-",'2 Aggregate System'!B27)</f>
        <v>-</v>
      </c>
      <c r="AC75" s="69" t="str">
        <f>IF(AND('2 Aggregate System'!$C$26=0,'2 Aggregate System'!$C$38=0),"-",'2 Aggregate System'!C27)</f>
        <v>-</v>
      </c>
      <c r="AD75" s="69" t="str">
        <f>IF(AND('2 Aggregate System'!$D$26=0,'2 Aggregate System'!$D$38=0),"-",'2 Aggregate System'!D27)</f>
        <v>-</v>
      </c>
      <c r="AE75" s="69" t="str">
        <f>IF(AND('2 Aggregate System'!$E$26=0,'2 Aggregate System'!$E$38=0),"-",'2 Aggregate System'!E27)</f>
        <v>-</v>
      </c>
      <c r="AF75" s="69" t="str">
        <f>IF(AND('2 Aggregate System'!$F$26=0,'2 Aggregate System'!$F$38=0),"-",'2 Aggregate System'!F27)</f>
        <v>-</v>
      </c>
      <c r="AG75" s="124" t="str">
        <f t="shared" ref="AG75:AG86" si="20">IF(AB75="-","-",AB75*$AB$91/100)</f>
        <v>-</v>
      </c>
      <c r="AH75" s="124" t="str">
        <f t="shared" ref="AH75:AH86" si="21">IF(AC75="-","-",AC75*$AB$92/100)</f>
        <v>-</v>
      </c>
      <c r="AI75" s="124" t="str">
        <f t="shared" ref="AI75:AI86" si="22">IF(AD75="-","-",AD75*$AB$93/100)</f>
        <v>-</v>
      </c>
      <c r="AJ75" s="124" t="str">
        <f t="shared" ref="AJ75:AJ86" si="23">IF(AE75="-","-",AE75*$AB$94/100)</f>
        <v>-</v>
      </c>
      <c r="AK75" s="124" t="str">
        <f t="shared" ref="AK75:AK86" si="24">IF(AF75="-","-",AF75*$AB$95/100)</f>
        <v>-</v>
      </c>
      <c r="AL75" s="124">
        <f t="shared" ref="AL75:AL86" si="25">SUM(AG75:AK75)</f>
        <v>0</v>
      </c>
    </row>
    <row r="76" spans="2:38" x14ac:dyDescent="0.3">
      <c r="AA76" s="70" t="s">
        <v>36</v>
      </c>
      <c r="AB76" s="69" t="str">
        <f>IF(AND('2 Aggregate System'!$B$26=0,'2 Aggregate System'!$B$38=0),"-",'2 Aggregate System'!B28)</f>
        <v>-</v>
      </c>
      <c r="AC76" s="69" t="str">
        <f>IF(AND('2 Aggregate System'!$C$26=0,'2 Aggregate System'!$C$38=0),"-",'2 Aggregate System'!C28)</f>
        <v>-</v>
      </c>
      <c r="AD76" s="69" t="str">
        <f>IF(AND('2 Aggregate System'!$D$26=0,'2 Aggregate System'!$D$38=0),"-",'2 Aggregate System'!D28)</f>
        <v>-</v>
      </c>
      <c r="AE76" s="69" t="str">
        <f>IF(AND('2 Aggregate System'!$E$26=0,'2 Aggregate System'!$E$38=0),"-",'2 Aggregate System'!E28)</f>
        <v>-</v>
      </c>
      <c r="AF76" s="69" t="str">
        <f>IF(AND('2 Aggregate System'!$F$26=0,'2 Aggregate System'!$F$38=0),"-",'2 Aggregate System'!F28)</f>
        <v>-</v>
      </c>
      <c r="AG76" s="124" t="str">
        <f t="shared" si="20"/>
        <v>-</v>
      </c>
      <c r="AH76" s="124" t="str">
        <f t="shared" si="21"/>
        <v>-</v>
      </c>
      <c r="AI76" s="124" t="str">
        <f t="shared" si="22"/>
        <v>-</v>
      </c>
      <c r="AJ76" s="124" t="str">
        <f t="shared" si="23"/>
        <v>-</v>
      </c>
      <c r="AK76" s="124" t="str">
        <f t="shared" si="24"/>
        <v>-</v>
      </c>
      <c r="AL76" s="124">
        <f t="shared" si="25"/>
        <v>0</v>
      </c>
    </row>
    <row r="77" spans="2:38" x14ac:dyDescent="0.3">
      <c r="AA77" s="70" t="s">
        <v>37</v>
      </c>
      <c r="AB77" s="69" t="str">
        <f>IF(AND('2 Aggregate System'!$B$26=0,'2 Aggregate System'!$B$38=0),"-",'2 Aggregate System'!B29)</f>
        <v>-</v>
      </c>
      <c r="AC77" s="69" t="str">
        <f>IF(AND('2 Aggregate System'!$C$26=0,'2 Aggregate System'!$C$38=0),"-",'2 Aggregate System'!C29)</f>
        <v>-</v>
      </c>
      <c r="AD77" s="69" t="str">
        <f>IF(AND('2 Aggregate System'!$D$26=0,'2 Aggregate System'!$D$38=0),"-",'2 Aggregate System'!D29)</f>
        <v>-</v>
      </c>
      <c r="AE77" s="69" t="str">
        <f>IF(AND('2 Aggregate System'!$E$26=0,'2 Aggregate System'!$E$38=0),"-",'2 Aggregate System'!E29)</f>
        <v>-</v>
      </c>
      <c r="AF77" s="69" t="str">
        <f>IF(AND('2 Aggregate System'!$F$26=0,'2 Aggregate System'!$F$38=0),"-",'2 Aggregate System'!F29)</f>
        <v>-</v>
      </c>
      <c r="AG77" s="124" t="str">
        <f t="shared" si="20"/>
        <v>-</v>
      </c>
      <c r="AH77" s="124" t="str">
        <f t="shared" si="21"/>
        <v>-</v>
      </c>
      <c r="AI77" s="124" t="str">
        <f t="shared" si="22"/>
        <v>-</v>
      </c>
      <c r="AJ77" s="124" t="str">
        <f t="shared" si="23"/>
        <v>-</v>
      </c>
      <c r="AK77" s="124" t="str">
        <f t="shared" si="24"/>
        <v>-</v>
      </c>
      <c r="AL77" s="124">
        <f t="shared" si="25"/>
        <v>0</v>
      </c>
    </row>
    <row r="78" spans="2:38" x14ac:dyDescent="0.3">
      <c r="AA78" s="70" t="s">
        <v>38</v>
      </c>
      <c r="AB78" s="69" t="str">
        <f>IF(AND('2 Aggregate System'!$B$26=0,'2 Aggregate System'!$B$38=0),"-",'2 Aggregate System'!B30)</f>
        <v>-</v>
      </c>
      <c r="AC78" s="69" t="str">
        <f>IF(AND('2 Aggregate System'!$C$26=0,'2 Aggregate System'!$C$38=0),"-",'2 Aggregate System'!C30)</f>
        <v>-</v>
      </c>
      <c r="AD78" s="69" t="str">
        <f>IF(AND('2 Aggregate System'!$D$26=0,'2 Aggregate System'!$D$38=0),"-",'2 Aggregate System'!D30)</f>
        <v>-</v>
      </c>
      <c r="AE78" s="69" t="str">
        <f>IF(AND('2 Aggregate System'!$E$26=0,'2 Aggregate System'!$E$38=0),"-",'2 Aggregate System'!E30)</f>
        <v>-</v>
      </c>
      <c r="AF78" s="69" t="str">
        <f>IF(AND('2 Aggregate System'!$F$26=0,'2 Aggregate System'!$F$38=0),"-",'2 Aggregate System'!F30)</f>
        <v>-</v>
      </c>
      <c r="AG78" s="124" t="str">
        <f t="shared" si="20"/>
        <v>-</v>
      </c>
      <c r="AH78" s="124" t="str">
        <f t="shared" si="21"/>
        <v>-</v>
      </c>
      <c r="AI78" s="124" t="str">
        <f t="shared" si="22"/>
        <v>-</v>
      </c>
      <c r="AJ78" s="124" t="str">
        <f t="shared" si="23"/>
        <v>-</v>
      </c>
      <c r="AK78" s="124" t="str">
        <f t="shared" si="24"/>
        <v>-</v>
      </c>
      <c r="AL78" s="124">
        <f t="shared" si="25"/>
        <v>0</v>
      </c>
    </row>
    <row r="79" spans="2:38" x14ac:dyDescent="0.3">
      <c r="AA79" s="70" t="s">
        <v>39</v>
      </c>
      <c r="AB79" s="69" t="str">
        <f>IF(AND('2 Aggregate System'!$B$26=0,'2 Aggregate System'!$B$38=0),"-",'2 Aggregate System'!B31)</f>
        <v>-</v>
      </c>
      <c r="AC79" s="69" t="str">
        <f>IF(AND('2 Aggregate System'!$C$26=0,'2 Aggregate System'!$C$38=0),"-",'2 Aggregate System'!C31)</f>
        <v>-</v>
      </c>
      <c r="AD79" s="69" t="str">
        <f>IF(AND('2 Aggregate System'!$D$26=0,'2 Aggregate System'!$D$38=0),"-",'2 Aggregate System'!D31)</f>
        <v>-</v>
      </c>
      <c r="AE79" s="69" t="str">
        <f>IF(AND('2 Aggregate System'!$E$26=0,'2 Aggregate System'!$E$38=0),"-",'2 Aggregate System'!E31)</f>
        <v>-</v>
      </c>
      <c r="AF79" s="69" t="str">
        <f>IF(AND('2 Aggregate System'!$F$26=0,'2 Aggregate System'!$F$38=0),"-",'2 Aggregate System'!F31)</f>
        <v>-</v>
      </c>
      <c r="AG79" s="124" t="str">
        <f t="shared" si="20"/>
        <v>-</v>
      </c>
      <c r="AH79" s="124" t="str">
        <f t="shared" si="21"/>
        <v>-</v>
      </c>
      <c r="AI79" s="124" t="str">
        <f t="shared" si="22"/>
        <v>-</v>
      </c>
      <c r="AJ79" s="124" t="str">
        <f t="shared" si="23"/>
        <v>-</v>
      </c>
      <c r="AK79" s="124" t="str">
        <f t="shared" si="24"/>
        <v>-</v>
      </c>
      <c r="AL79" s="124">
        <f t="shared" si="25"/>
        <v>0</v>
      </c>
    </row>
    <row r="80" spans="2:38" x14ac:dyDescent="0.3">
      <c r="AA80" s="70" t="s">
        <v>40</v>
      </c>
      <c r="AB80" s="69" t="str">
        <f>IF(AND('2 Aggregate System'!$B$26=0,'2 Aggregate System'!$B$38=0),"-",'2 Aggregate System'!B32)</f>
        <v>-</v>
      </c>
      <c r="AC80" s="69" t="str">
        <f>IF(AND('2 Aggregate System'!$C$26=0,'2 Aggregate System'!$C$38=0),"-",'2 Aggregate System'!C32)</f>
        <v>-</v>
      </c>
      <c r="AD80" s="69" t="str">
        <f>IF(AND('2 Aggregate System'!$D$26=0,'2 Aggregate System'!$D$38=0),"-",'2 Aggregate System'!D32)</f>
        <v>-</v>
      </c>
      <c r="AE80" s="69" t="str">
        <f>IF(AND('2 Aggregate System'!$E$26=0,'2 Aggregate System'!$E$38=0),"-",'2 Aggregate System'!E32)</f>
        <v>-</v>
      </c>
      <c r="AF80" s="69" t="str">
        <f>IF(AND('2 Aggregate System'!$F$26=0,'2 Aggregate System'!$F$38=0),"-",'2 Aggregate System'!F32)</f>
        <v>-</v>
      </c>
      <c r="AG80" s="124" t="str">
        <f t="shared" si="20"/>
        <v>-</v>
      </c>
      <c r="AH80" s="124" t="str">
        <f t="shared" si="21"/>
        <v>-</v>
      </c>
      <c r="AI80" s="124" t="str">
        <f t="shared" si="22"/>
        <v>-</v>
      </c>
      <c r="AJ80" s="124" t="str">
        <f t="shared" si="23"/>
        <v>-</v>
      </c>
      <c r="AK80" s="124" t="str">
        <f t="shared" si="24"/>
        <v>-</v>
      </c>
      <c r="AL80" s="124">
        <f t="shared" si="25"/>
        <v>0</v>
      </c>
    </row>
    <row r="81" spans="27:38" x14ac:dyDescent="0.3">
      <c r="AA81" s="70" t="s">
        <v>41</v>
      </c>
      <c r="AB81" s="69" t="str">
        <f>IF(AND('2 Aggregate System'!$B$26=0,'2 Aggregate System'!$B$38=0),"-",'2 Aggregate System'!B33)</f>
        <v>-</v>
      </c>
      <c r="AC81" s="69" t="str">
        <f>IF(AND('2 Aggregate System'!$C$26=0,'2 Aggregate System'!$C$38=0),"-",'2 Aggregate System'!C33)</f>
        <v>-</v>
      </c>
      <c r="AD81" s="69" t="str">
        <f>IF(AND('2 Aggregate System'!$D$26=0,'2 Aggregate System'!$D$38=0),"-",'2 Aggregate System'!D33)</f>
        <v>-</v>
      </c>
      <c r="AE81" s="69" t="str">
        <f>IF(AND('2 Aggregate System'!$E$26=0,'2 Aggregate System'!$E$38=0),"-",'2 Aggregate System'!E33)</f>
        <v>-</v>
      </c>
      <c r="AF81" s="69" t="str">
        <f>IF(AND('2 Aggregate System'!$F$26=0,'2 Aggregate System'!$F$38=0),"-",'2 Aggregate System'!F33)</f>
        <v>-</v>
      </c>
      <c r="AG81" s="124" t="str">
        <f t="shared" si="20"/>
        <v>-</v>
      </c>
      <c r="AH81" s="124" t="str">
        <f t="shared" si="21"/>
        <v>-</v>
      </c>
      <c r="AI81" s="124" t="str">
        <f t="shared" si="22"/>
        <v>-</v>
      </c>
      <c r="AJ81" s="124" t="str">
        <f t="shared" si="23"/>
        <v>-</v>
      </c>
      <c r="AK81" s="124" t="str">
        <f t="shared" si="24"/>
        <v>-</v>
      </c>
      <c r="AL81" s="124">
        <f t="shared" si="25"/>
        <v>0</v>
      </c>
    </row>
    <row r="82" spans="27:38" x14ac:dyDescent="0.3">
      <c r="AA82" s="70" t="s">
        <v>42</v>
      </c>
      <c r="AB82" s="69" t="str">
        <f>IF(AND('2 Aggregate System'!$B$26=0,'2 Aggregate System'!$B$38=0),"-",'2 Aggregate System'!B34)</f>
        <v>-</v>
      </c>
      <c r="AC82" s="69" t="str">
        <f>IF(AND('2 Aggregate System'!$C$26=0,'2 Aggregate System'!$C$38=0),"-",'2 Aggregate System'!C34)</f>
        <v>-</v>
      </c>
      <c r="AD82" s="69" t="str">
        <f>IF(AND('2 Aggregate System'!$D$26=0,'2 Aggregate System'!$D$38=0),"-",'2 Aggregate System'!D34)</f>
        <v>-</v>
      </c>
      <c r="AE82" s="69" t="str">
        <f>IF(AND('2 Aggregate System'!$E$26=0,'2 Aggregate System'!$E$38=0),"-",'2 Aggregate System'!E34)</f>
        <v>-</v>
      </c>
      <c r="AF82" s="69" t="str">
        <f>IF(AND('2 Aggregate System'!$F$26=0,'2 Aggregate System'!$F$38=0),"-",'2 Aggregate System'!F34)</f>
        <v>-</v>
      </c>
      <c r="AG82" s="124" t="str">
        <f t="shared" si="20"/>
        <v>-</v>
      </c>
      <c r="AH82" s="124" t="str">
        <f t="shared" si="21"/>
        <v>-</v>
      </c>
      <c r="AI82" s="124" t="str">
        <f t="shared" si="22"/>
        <v>-</v>
      </c>
      <c r="AJ82" s="124" t="str">
        <f t="shared" si="23"/>
        <v>-</v>
      </c>
      <c r="AK82" s="124" t="str">
        <f t="shared" si="24"/>
        <v>-</v>
      </c>
      <c r="AL82" s="124">
        <f t="shared" si="25"/>
        <v>0</v>
      </c>
    </row>
    <row r="83" spans="27:38" x14ac:dyDescent="0.3">
      <c r="AA83" s="70" t="s">
        <v>43</v>
      </c>
      <c r="AB83" s="69" t="str">
        <f>IF(AND('2 Aggregate System'!$B$26=0,'2 Aggregate System'!$B$38=0),"-",'2 Aggregate System'!B35)</f>
        <v>-</v>
      </c>
      <c r="AC83" s="69" t="str">
        <f>IF(AND('2 Aggregate System'!$C$26=0,'2 Aggregate System'!$C$38=0),"-",'2 Aggregate System'!C35)</f>
        <v>-</v>
      </c>
      <c r="AD83" s="69" t="str">
        <f>IF(AND('2 Aggregate System'!$D$26=0,'2 Aggregate System'!$D$38=0),"-",'2 Aggregate System'!D35)</f>
        <v>-</v>
      </c>
      <c r="AE83" s="69" t="str">
        <f>IF(AND('2 Aggregate System'!$E$26=0,'2 Aggregate System'!$E$38=0),"-",'2 Aggregate System'!E35)</f>
        <v>-</v>
      </c>
      <c r="AF83" s="69" t="str">
        <f>IF(AND('2 Aggregate System'!$F$26=0,'2 Aggregate System'!$F$38=0),"-",'2 Aggregate System'!F35)</f>
        <v>-</v>
      </c>
      <c r="AG83" s="124" t="str">
        <f t="shared" si="20"/>
        <v>-</v>
      </c>
      <c r="AH83" s="124" t="str">
        <f t="shared" si="21"/>
        <v>-</v>
      </c>
      <c r="AI83" s="124" t="str">
        <f t="shared" si="22"/>
        <v>-</v>
      </c>
      <c r="AJ83" s="124" t="str">
        <f t="shared" si="23"/>
        <v>-</v>
      </c>
      <c r="AK83" s="124" t="str">
        <f t="shared" si="24"/>
        <v>-</v>
      </c>
      <c r="AL83" s="124">
        <f t="shared" si="25"/>
        <v>0</v>
      </c>
    </row>
    <row r="84" spans="27:38" x14ac:dyDescent="0.3">
      <c r="AA84" s="70" t="s">
        <v>44</v>
      </c>
      <c r="AB84" s="69" t="str">
        <f>IF(AND('2 Aggregate System'!$B$26=0,'2 Aggregate System'!$B$38=0),"-",'2 Aggregate System'!B36)</f>
        <v>-</v>
      </c>
      <c r="AC84" s="69" t="str">
        <f>IF(AND('2 Aggregate System'!$C$26=0,'2 Aggregate System'!$C$38=0),"-",'2 Aggregate System'!C36)</f>
        <v>-</v>
      </c>
      <c r="AD84" s="69" t="str">
        <f>IF(AND('2 Aggregate System'!$D$26=0,'2 Aggregate System'!$D$38=0),"-",'2 Aggregate System'!D36)</f>
        <v>-</v>
      </c>
      <c r="AE84" s="69" t="str">
        <f>IF(AND('2 Aggregate System'!$E$26=0,'2 Aggregate System'!$E$38=0),"-",'2 Aggregate System'!E36)</f>
        <v>-</v>
      </c>
      <c r="AF84" s="69" t="str">
        <f>IF(AND('2 Aggregate System'!$F$26=0,'2 Aggregate System'!$F$38=0),"-",'2 Aggregate System'!F36)</f>
        <v>-</v>
      </c>
      <c r="AG84" s="124" t="str">
        <f t="shared" si="20"/>
        <v>-</v>
      </c>
      <c r="AH84" s="124" t="str">
        <f t="shared" si="21"/>
        <v>-</v>
      </c>
      <c r="AI84" s="124" t="str">
        <f t="shared" si="22"/>
        <v>-</v>
      </c>
      <c r="AJ84" s="124" t="str">
        <f t="shared" si="23"/>
        <v>-</v>
      </c>
      <c r="AK84" s="124" t="str">
        <f t="shared" si="24"/>
        <v>-</v>
      </c>
      <c r="AL84" s="124">
        <f t="shared" si="25"/>
        <v>0</v>
      </c>
    </row>
    <row r="85" spans="27:38" x14ac:dyDescent="0.3">
      <c r="AA85" s="70" t="s">
        <v>45</v>
      </c>
      <c r="AB85" s="69" t="str">
        <f>IF(AND('2 Aggregate System'!$B$26=0,'2 Aggregate System'!$B$38=0),"-",'2 Aggregate System'!B37)</f>
        <v>-</v>
      </c>
      <c r="AC85" s="69" t="str">
        <f>IF(AND('2 Aggregate System'!$C$26=0,'2 Aggregate System'!$C$38=0),"-",'2 Aggregate System'!C37)</f>
        <v>-</v>
      </c>
      <c r="AD85" s="69" t="str">
        <f>IF(AND('2 Aggregate System'!$D$26=0,'2 Aggregate System'!$D$38=0),"-",'2 Aggregate System'!D37)</f>
        <v>-</v>
      </c>
      <c r="AE85" s="69" t="str">
        <f>IF(AND('2 Aggregate System'!$E$26=0,'2 Aggregate System'!$E$38=0),"-",'2 Aggregate System'!E37)</f>
        <v>-</v>
      </c>
      <c r="AF85" s="69" t="str">
        <f>IF(AND('2 Aggregate System'!$F$26=0,'2 Aggregate System'!$F$38=0),"-",'2 Aggregate System'!F37)</f>
        <v>-</v>
      </c>
      <c r="AG85" s="124" t="str">
        <f t="shared" si="20"/>
        <v>-</v>
      </c>
      <c r="AH85" s="124" t="str">
        <f t="shared" si="21"/>
        <v>-</v>
      </c>
      <c r="AI85" s="124" t="str">
        <f t="shared" si="22"/>
        <v>-</v>
      </c>
      <c r="AJ85" s="124" t="str">
        <f t="shared" si="23"/>
        <v>-</v>
      </c>
      <c r="AK85" s="124" t="str">
        <f t="shared" si="24"/>
        <v>-</v>
      </c>
      <c r="AL85" s="124">
        <f t="shared" si="25"/>
        <v>0</v>
      </c>
    </row>
    <row r="86" spans="27:38" ht="16.2" thickBot="1" x14ac:dyDescent="0.35">
      <c r="AA86" s="75" t="s">
        <v>46</v>
      </c>
      <c r="AB86" s="76" t="str">
        <f>IF(AND('2 Aggregate System'!$B$26=0,'2 Aggregate System'!$B$38=0),"-",'2 Aggregate System'!B38)</f>
        <v>-</v>
      </c>
      <c r="AC86" s="76" t="str">
        <f>IF(AND('2 Aggregate System'!$C$26=0,'2 Aggregate System'!$C$38=0),"-",'2 Aggregate System'!C38)</f>
        <v>-</v>
      </c>
      <c r="AD86" s="76" t="str">
        <f>IF(AND('2 Aggregate System'!$D$26=0,'2 Aggregate System'!$D$38=0),"-",'2 Aggregate System'!D38)</f>
        <v>-</v>
      </c>
      <c r="AE86" s="76" t="str">
        <f>IF(AND('2 Aggregate System'!$E$26=0,'2 Aggregate System'!$E$38=0),"-",'2 Aggregate System'!E38)</f>
        <v>-</v>
      </c>
      <c r="AF86" s="76" t="str">
        <f>IF(AND('2 Aggregate System'!$F$26=0,'2 Aggregate System'!$F$38=0),"-",'2 Aggregate System'!F38)</f>
        <v>-</v>
      </c>
      <c r="AG86" s="125" t="str">
        <f t="shared" si="20"/>
        <v>-</v>
      </c>
      <c r="AH86" s="125" t="str">
        <f t="shared" si="21"/>
        <v>-</v>
      </c>
      <c r="AI86" s="125" t="str">
        <f t="shared" si="22"/>
        <v>-</v>
      </c>
      <c r="AJ86" s="125" t="str">
        <f t="shared" si="23"/>
        <v>-</v>
      </c>
      <c r="AK86" s="125" t="str">
        <f t="shared" si="24"/>
        <v>-</v>
      </c>
      <c r="AL86" s="125">
        <f t="shared" si="25"/>
        <v>0</v>
      </c>
    </row>
    <row r="88" spans="27:38" x14ac:dyDescent="0.3">
      <c r="AA88" s="1148" t="s">
        <v>411</v>
      </c>
      <c r="AB88" s="1148"/>
      <c r="AC88" s="1148"/>
      <c r="AD88" s="1148"/>
    </row>
    <row r="89" spans="27:38" x14ac:dyDescent="0.3">
      <c r="AA89" s="1161" t="s">
        <v>409</v>
      </c>
      <c r="AB89" s="1161"/>
      <c r="AC89" s="1161" t="s">
        <v>344</v>
      </c>
      <c r="AD89" s="1161" t="s">
        <v>410</v>
      </c>
    </row>
    <row r="90" spans="27:38" x14ac:dyDescent="0.3">
      <c r="AA90" s="122" t="s">
        <v>408</v>
      </c>
      <c r="AB90" s="122" t="s">
        <v>341</v>
      </c>
      <c r="AC90" s="1161"/>
      <c r="AD90" s="1161"/>
    </row>
    <row r="91" spans="27:38" x14ac:dyDescent="0.3">
      <c r="AA91" s="122" t="s">
        <v>198</v>
      </c>
      <c r="AB91" s="593">
        <f>'Optimize Tool'!D9</f>
        <v>0</v>
      </c>
      <c r="AC91" s="122" t="str">
        <f>IF(AB91=0,"",AB91*'Optimize Tool'!$D$14/100)</f>
        <v/>
      </c>
      <c r="AD91" s="122" t="str">
        <f>IFERROR(AC91/(62.4*'Optimize Tool'!F9),"-")</f>
        <v>-</v>
      </c>
    </row>
    <row r="92" spans="27:38" x14ac:dyDescent="0.3">
      <c r="AA92" s="122" t="s">
        <v>199</v>
      </c>
      <c r="AB92" s="593">
        <f>'Optimize Tool'!D10</f>
        <v>0</v>
      </c>
      <c r="AC92" s="122" t="str">
        <f>IF(AB92=0,"",AB92*'Optimize Tool'!$D$14/100)</f>
        <v/>
      </c>
      <c r="AD92" s="122" t="str">
        <f>IFERROR(AC92/(62.4*'Optimize Tool'!F10),"-")</f>
        <v>-</v>
      </c>
    </row>
    <row r="93" spans="27:38" x14ac:dyDescent="0.3">
      <c r="AA93" s="122" t="s">
        <v>200</v>
      </c>
      <c r="AB93" s="593">
        <f>'Optimize Tool'!D11</f>
        <v>0</v>
      </c>
      <c r="AC93" s="122" t="str">
        <f>IF(AB93=0,"",AB93*'Optimize Tool'!$D$14/100)</f>
        <v/>
      </c>
      <c r="AD93" s="122" t="str">
        <f>IFERROR(AC93/(62.4*'Optimize Tool'!F11),"-")</f>
        <v>-</v>
      </c>
    </row>
    <row r="94" spans="27:38" x14ac:dyDescent="0.3">
      <c r="AA94" s="122" t="s">
        <v>201</v>
      </c>
      <c r="AB94" s="593">
        <f>'Optimize Tool'!D12</f>
        <v>0</v>
      </c>
      <c r="AC94" s="122" t="str">
        <f>IF(AB94=0,"",AB94*'Optimize Tool'!$D$14/100)</f>
        <v/>
      </c>
      <c r="AD94" s="122" t="str">
        <f>IFERROR(AC94/(62.4*'Optimize Tool'!F12),"-")</f>
        <v>-</v>
      </c>
    </row>
    <row r="95" spans="27:38" x14ac:dyDescent="0.3">
      <c r="AA95" s="122" t="s">
        <v>202</v>
      </c>
      <c r="AB95" s="593">
        <f>'Optimize Tool'!D13</f>
        <v>0</v>
      </c>
      <c r="AC95" s="122">
        <f>IF(AB95=0,0,AB95*'Optimize Tool'!$D$14/100)</f>
        <v>0</v>
      </c>
      <c r="AD95" s="122" t="str">
        <f>IFERROR(AC95/(62.4*'Optimize Tool'!F13),"-")</f>
        <v>-</v>
      </c>
    </row>
    <row r="97" spans="27:35" x14ac:dyDescent="0.3">
      <c r="AA97" s="122" t="str">
        <f>'Optimize Tool'!H4</f>
        <v>Standard</v>
      </c>
      <c r="AD97" s="1" t="s">
        <v>413</v>
      </c>
    </row>
    <row r="98" spans="27:35" ht="16.2" thickBot="1" x14ac:dyDescent="0.35">
      <c r="AA98" s="1" t="s">
        <v>412</v>
      </c>
      <c r="AB98" s="122" t="s">
        <v>247</v>
      </c>
      <c r="AC98" s="122" t="s">
        <v>246</v>
      </c>
      <c r="AD98" s="1" t="s">
        <v>414</v>
      </c>
      <c r="AE98" s="1" t="s">
        <v>415</v>
      </c>
      <c r="AF98" s="1" t="s">
        <v>416</v>
      </c>
      <c r="AG98" s="1" t="s">
        <v>417</v>
      </c>
      <c r="AH98" s="1" t="s">
        <v>418</v>
      </c>
      <c r="AI98" s="1" t="s">
        <v>419</v>
      </c>
    </row>
    <row r="99" spans="27:35" x14ac:dyDescent="0.3">
      <c r="AA99" s="600" t="s">
        <v>34</v>
      </c>
      <c r="AB99" s="122">
        <f t="shared" ref="AB99:AB111" si="26">IF($AA$97="Standard",S27,U27)</f>
        <v>100</v>
      </c>
      <c r="AC99" s="122">
        <f t="shared" ref="AC99:AC111" si="27">IF($AA$97="Standard",R27,T27)</f>
        <v>100</v>
      </c>
      <c r="AD99" s="603">
        <f>AL74</f>
        <v>0</v>
      </c>
      <c r="AE99" s="1">
        <f>IF(AD99&gt;AB99,AD99-AB99,0)</f>
        <v>0</v>
      </c>
      <c r="AF99" s="1">
        <f>IF(AD99&lt;AC99,AD99-AC99,0)</f>
        <v>-100</v>
      </c>
      <c r="AG99" s="1">
        <f>AVERAGE(AB99:AC99)</f>
        <v>100</v>
      </c>
      <c r="AH99" s="603">
        <f>AG99-AD99</f>
        <v>100</v>
      </c>
      <c r="AI99" s="603">
        <f>AH99^2</f>
        <v>10000</v>
      </c>
    </row>
    <row r="100" spans="27:35" x14ac:dyDescent="0.3">
      <c r="AA100" s="601" t="s">
        <v>35</v>
      </c>
      <c r="AB100" s="122">
        <f t="shared" si="26"/>
        <v>100</v>
      </c>
      <c r="AC100" s="122">
        <f t="shared" si="27"/>
        <v>96</v>
      </c>
      <c r="AD100" s="603">
        <f>AL75</f>
        <v>0</v>
      </c>
      <c r="AE100" s="1">
        <f t="shared" ref="AE100:AE111" si="28">IF(AD100&gt;AB100,AD100-AB100,0)</f>
        <v>0</v>
      </c>
      <c r="AF100" s="1">
        <f t="shared" ref="AF100:AF111" si="29">IF(AD100&lt;AC100,AD100-AC100,0)</f>
        <v>-96</v>
      </c>
      <c r="AG100" s="1">
        <f t="shared" ref="AG100:AG111" si="30">AVERAGE(AB100:AC100)</f>
        <v>98</v>
      </c>
      <c r="AH100" s="603">
        <f t="shared" ref="AH100:AH111" si="31">AG100-AD100</f>
        <v>98</v>
      </c>
      <c r="AI100" s="603">
        <f t="shared" ref="AI100:AI111" si="32">AH100^2</f>
        <v>9604</v>
      </c>
    </row>
    <row r="101" spans="27:35" x14ac:dyDescent="0.3">
      <c r="AA101" s="601" t="s">
        <v>36</v>
      </c>
      <c r="AB101" s="122">
        <f t="shared" si="26"/>
        <v>99</v>
      </c>
      <c r="AC101" s="122">
        <f t="shared" si="27"/>
        <v>70</v>
      </c>
      <c r="AD101" s="603">
        <f t="shared" ref="AD101:AD111" si="33">AL76</f>
        <v>0</v>
      </c>
      <c r="AE101" s="1">
        <f t="shared" si="28"/>
        <v>0</v>
      </c>
      <c r="AF101" s="1">
        <f t="shared" si="29"/>
        <v>-70</v>
      </c>
      <c r="AG101" s="1">
        <f t="shared" si="30"/>
        <v>84.5</v>
      </c>
      <c r="AH101" s="603">
        <f t="shared" si="31"/>
        <v>84.5</v>
      </c>
      <c r="AI101" s="603">
        <f t="shared" si="32"/>
        <v>7140.25</v>
      </c>
    </row>
    <row r="102" spans="27:35" x14ac:dyDescent="0.3">
      <c r="AA102" s="601" t="s">
        <v>37</v>
      </c>
      <c r="AB102" s="122">
        <f t="shared" si="26"/>
        <v>96</v>
      </c>
      <c r="AC102" s="122">
        <f t="shared" si="27"/>
        <v>55</v>
      </c>
      <c r="AD102" s="603">
        <f t="shared" si="33"/>
        <v>0</v>
      </c>
      <c r="AE102" s="1">
        <f t="shared" si="28"/>
        <v>0</v>
      </c>
      <c r="AF102" s="1">
        <f t="shared" si="29"/>
        <v>-55</v>
      </c>
      <c r="AG102" s="1">
        <f t="shared" si="30"/>
        <v>75.5</v>
      </c>
      <c r="AH102" s="603">
        <f t="shared" si="31"/>
        <v>75.5</v>
      </c>
      <c r="AI102" s="603">
        <f t="shared" si="32"/>
        <v>5700.25</v>
      </c>
    </row>
    <row r="103" spans="27:35" x14ac:dyDescent="0.3">
      <c r="AA103" s="601" t="s">
        <v>38</v>
      </c>
      <c r="AB103" s="122">
        <f t="shared" si="26"/>
        <v>86</v>
      </c>
      <c r="AC103" s="122">
        <f t="shared" si="27"/>
        <v>48</v>
      </c>
      <c r="AD103" s="603">
        <f t="shared" si="33"/>
        <v>0</v>
      </c>
      <c r="AE103" s="1">
        <f t="shared" si="28"/>
        <v>0</v>
      </c>
      <c r="AF103" s="1">
        <f t="shared" si="29"/>
        <v>-48</v>
      </c>
      <c r="AG103" s="1">
        <f t="shared" si="30"/>
        <v>67</v>
      </c>
      <c r="AH103" s="603">
        <f t="shared" si="31"/>
        <v>67</v>
      </c>
      <c r="AI103" s="603">
        <f t="shared" si="32"/>
        <v>4489</v>
      </c>
    </row>
    <row r="104" spans="27:35" x14ac:dyDescent="0.3">
      <c r="AA104" s="601" t="s">
        <v>39</v>
      </c>
      <c r="AB104" s="122">
        <f t="shared" si="26"/>
        <v>77</v>
      </c>
      <c r="AC104" s="122">
        <f t="shared" si="27"/>
        <v>38</v>
      </c>
      <c r="AD104" s="603">
        <f t="shared" si="33"/>
        <v>0</v>
      </c>
      <c r="AE104" s="1">
        <f t="shared" si="28"/>
        <v>0</v>
      </c>
      <c r="AF104" s="1">
        <f t="shared" si="29"/>
        <v>-38</v>
      </c>
      <c r="AG104" s="1">
        <f t="shared" si="30"/>
        <v>57.5</v>
      </c>
      <c r="AH104" s="603">
        <f t="shared" si="31"/>
        <v>57.5</v>
      </c>
      <c r="AI104" s="603">
        <f t="shared" si="32"/>
        <v>3306.25</v>
      </c>
    </row>
    <row r="105" spans="27:35" x14ac:dyDescent="0.3">
      <c r="AA105" s="601" t="s">
        <v>40</v>
      </c>
      <c r="AB105" s="122">
        <f t="shared" si="26"/>
        <v>60</v>
      </c>
      <c r="AC105" s="122">
        <f t="shared" si="27"/>
        <v>30</v>
      </c>
      <c r="AD105" s="603">
        <f t="shared" si="33"/>
        <v>0</v>
      </c>
      <c r="AE105" s="1">
        <f t="shared" si="28"/>
        <v>0</v>
      </c>
      <c r="AF105" s="1">
        <f t="shared" si="29"/>
        <v>-30</v>
      </c>
      <c r="AG105" s="1">
        <f t="shared" si="30"/>
        <v>45</v>
      </c>
      <c r="AH105" s="603">
        <f t="shared" si="31"/>
        <v>45</v>
      </c>
      <c r="AI105" s="603">
        <f t="shared" si="32"/>
        <v>2025</v>
      </c>
    </row>
    <row r="106" spans="27:35" x14ac:dyDescent="0.3">
      <c r="AA106" s="601" t="s">
        <v>41</v>
      </c>
      <c r="AB106" s="122">
        <f t="shared" si="26"/>
        <v>53</v>
      </c>
      <c r="AC106" s="122">
        <f t="shared" si="27"/>
        <v>25</v>
      </c>
      <c r="AD106" s="603">
        <f t="shared" si="33"/>
        <v>0</v>
      </c>
      <c r="AE106" s="1">
        <f t="shared" si="28"/>
        <v>0</v>
      </c>
      <c r="AF106" s="1">
        <f t="shared" si="29"/>
        <v>-25</v>
      </c>
      <c r="AG106" s="1">
        <f t="shared" si="30"/>
        <v>39</v>
      </c>
      <c r="AH106" s="603">
        <f t="shared" si="31"/>
        <v>39</v>
      </c>
      <c r="AI106" s="603">
        <f t="shared" si="32"/>
        <v>1521</v>
      </c>
    </row>
    <row r="107" spans="27:35" x14ac:dyDescent="0.3">
      <c r="AA107" s="601" t="s">
        <v>42</v>
      </c>
      <c r="AB107" s="122">
        <f t="shared" si="26"/>
        <v>44</v>
      </c>
      <c r="AC107" s="122">
        <f t="shared" si="27"/>
        <v>20</v>
      </c>
      <c r="AD107" s="603">
        <f t="shared" si="33"/>
        <v>0</v>
      </c>
      <c r="AE107" s="1">
        <f t="shared" si="28"/>
        <v>0</v>
      </c>
      <c r="AF107" s="1">
        <f t="shared" si="29"/>
        <v>-20</v>
      </c>
      <c r="AG107" s="1">
        <f t="shared" si="30"/>
        <v>32</v>
      </c>
      <c r="AH107" s="603">
        <f t="shared" si="31"/>
        <v>32</v>
      </c>
      <c r="AI107" s="603">
        <f t="shared" si="32"/>
        <v>1024</v>
      </c>
    </row>
    <row r="108" spans="27:35" x14ac:dyDescent="0.3">
      <c r="AA108" s="601" t="s">
        <v>43</v>
      </c>
      <c r="AB108" s="122">
        <f t="shared" si="26"/>
        <v>32</v>
      </c>
      <c r="AC108" s="122">
        <f t="shared" si="27"/>
        <v>10</v>
      </c>
      <c r="AD108" s="603">
        <f t="shared" si="33"/>
        <v>0</v>
      </c>
      <c r="AE108" s="1">
        <f t="shared" si="28"/>
        <v>0</v>
      </c>
      <c r="AF108" s="1">
        <f t="shared" si="29"/>
        <v>-10</v>
      </c>
      <c r="AG108" s="1">
        <f t="shared" si="30"/>
        <v>21</v>
      </c>
      <c r="AH108" s="603">
        <f t="shared" si="31"/>
        <v>21</v>
      </c>
      <c r="AI108" s="603">
        <f t="shared" si="32"/>
        <v>441</v>
      </c>
    </row>
    <row r="109" spans="27:35" x14ac:dyDescent="0.3">
      <c r="AA109" s="601" t="s">
        <v>44</v>
      </c>
      <c r="AB109" s="122">
        <f t="shared" si="26"/>
        <v>14</v>
      </c>
      <c r="AC109" s="122">
        <f t="shared" si="27"/>
        <v>2</v>
      </c>
      <c r="AD109" s="603">
        <f t="shared" si="33"/>
        <v>0</v>
      </c>
      <c r="AE109" s="1">
        <f t="shared" si="28"/>
        <v>0</v>
      </c>
      <c r="AF109" s="1">
        <f t="shared" si="29"/>
        <v>-2</v>
      </c>
      <c r="AG109" s="1">
        <f t="shared" si="30"/>
        <v>8</v>
      </c>
      <c r="AH109" s="603">
        <f t="shared" si="31"/>
        <v>8</v>
      </c>
      <c r="AI109" s="603">
        <f t="shared" si="32"/>
        <v>64</v>
      </c>
    </row>
    <row r="110" spans="27:35" x14ac:dyDescent="0.3">
      <c r="AA110" s="601" t="s">
        <v>45</v>
      </c>
      <c r="AB110" s="122">
        <f t="shared" si="26"/>
        <v>6</v>
      </c>
      <c r="AC110" s="122">
        <f t="shared" si="27"/>
        <v>0</v>
      </c>
      <c r="AD110" s="603">
        <f t="shared" si="33"/>
        <v>0</v>
      </c>
      <c r="AE110" s="1">
        <f t="shared" si="28"/>
        <v>0</v>
      </c>
      <c r="AF110" s="1">
        <f t="shared" si="29"/>
        <v>0</v>
      </c>
      <c r="AG110" s="1">
        <f t="shared" si="30"/>
        <v>3</v>
      </c>
      <c r="AH110" s="603">
        <f t="shared" si="31"/>
        <v>3</v>
      </c>
      <c r="AI110" s="603">
        <f t="shared" si="32"/>
        <v>9</v>
      </c>
    </row>
    <row r="111" spans="27:35" ht="16.2" thickBot="1" x14ac:dyDescent="0.35">
      <c r="AA111" s="602" t="s">
        <v>46</v>
      </c>
      <c r="AB111" s="122">
        <f t="shared" si="26"/>
        <v>2.2999999999999998</v>
      </c>
      <c r="AC111" s="122">
        <f t="shared" si="27"/>
        <v>0</v>
      </c>
      <c r="AD111" s="603">
        <f t="shared" si="33"/>
        <v>0</v>
      </c>
      <c r="AE111" s="1">
        <f t="shared" si="28"/>
        <v>0</v>
      </c>
      <c r="AF111" s="1">
        <f t="shared" si="29"/>
        <v>0</v>
      </c>
      <c r="AG111" s="1">
        <f t="shared" si="30"/>
        <v>1.1499999999999999</v>
      </c>
      <c r="AH111" s="603">
        <f t="shared" si="31"/>
        <v>1.1499999999999999</v>
      </c>
      <c r="AI111" s="603">
        <f t="shared" si="32"/>
        <v>1.3224999999999998</v>
      </c>
    </row>
    <row r="112" spans="27:35" x14ac:dyDescent="0.3">
      <c r="AD112" s="1" t="s">
        <v>420</v>
      </c>
      <c r="AE112" s="1">
        <f>SUM(AE99:AE111)+SUM(AF99:AF111)</f>
        <v>-494</v>
      </c>
      <c r="AH112" s="1" t="s">
        <v>421</v>
      </c>
      <c r="AI112" s="603">
        <f>SUM(AI99:AI111)</f>
        <v>45325.072500000002</v>
      </c>
    </row>
  </sheetData>
  <mergeCells count="28">
    <mergeCell ref="AB71:AL71"/>
    <mergeCell ref="AB72:AF72"/>
    <mergeCell ref="AG72:AK72"/>
    <mergeCell ref="AL72:AL73"/>
    <mergeCell ref="AA89:AB89"/>
    <mergeCell ref="AC89:AC90"/>
    <mergeCell ref="AD89:AD90"/>
    <mergeCell ref="AA88:AD88"/>
    <mergeCell ref="R24:S24"/>
    <mergeCell ref="K2:Z5"/>
    <mergeCell ref="AB7:AF7"/>
    <mergeCell ref="AB54:AL54"/>
    <mergeCell ref="AH6:AK6"/>
    <mergeCell ref="AL55:AL56"/>
    <mergeCell ref="AH24:AJ24"/>
    <mergeCell ref="AG41:AH41"/>
    <mergeCell ref="AA34:AB34"/>
    <mergeCell ref="AD34:AE34"/>
    <mergeCell ref="AC25:AE25"/>
    <mergeCell ref="AB55:AF55"/>
    <mergeCell ref="AG55:AK55"/>
    <mergeCell ref="AM6:AP6"/>
    <mergeCell ref="AM7:AN7"/>
    <mergeCell ref="AO7:AP7"/>
    <mergeCell ref="H1:K1"/>
    <mergeCell ref="A1:G1"/>
    <mergeCell ref="AJ7:AK7"/>
    <mergeCell ref="AH7:AI7"/>
  </mergeCells>
  <pageMargins left="0.7" right="0.7" top="0.75" bottom="0.75" header="0.3" footer="0.3"/>
  <pageSetup scale="29" orientation="landscape" horizontalDpi="200" verticalDpi="2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B0009-C0F5-4D64-8AB5-D6C5C53915CC}">
  <sheetPr>
    <tabColor rgb="FFFF0000"/>
  </sheetPr>
  <dimension ref="A1:T57"/>
  <sheetViews>
    <sheetView zoomScaleNormal="100" workbookViewId="0">
      <selection activeCell="A3" sqref="A3"/>
    </sheetView>
  </sheetViews>
  <sheetFormatPr defaultColWidth="8.88671875" defaultRowHeight="14.4" x14ac:dyDescent="0.3"/>
  <cols>
    <col min="1" max="2" width="13.6640625" style="126" bestFit="1" customWidth="1"/>
    <col min="3" max="3" width="19.6640625" style="126" bestFit="1" customWidth="1"/>
    <col min="4" max="4" width="17.44140625" style="126" customWidth="1"/>
    <col min="5" max="5" width="13.6640625" style="126" bestFit="1" customWidth="1"/>
    <col min="6" max="6" width="13.6640625" style="126" customWidth="1"/>
    <col min="7" max="7" width="13.6640625" style="126" bestFit="1" customWidth="1"/>
    <col min="8" max="8" width="10.6640625" style="126" bestFit="1" customWidth="1"/>
    <col min="9" max="9" width="15.5546875" style="126" bestFit="1" customWidth="1"/>
    <col min="10" max="10" width="12" style="126" bestFit="1" customWidth="1"/>
    <col min="11" max="11" width="8.88671875" style="126"/>
    <col min="12" max="12" width="12" style="126" bestFit="1" customWidth="1"/>
    <col min="13" max="13" width="8.88671875" style="126"/>
    <col min="14" max="14" width="13.6640625" style="126" bestFit="1" customWidth="1"/>
    <col min="15" max="15" width="22.33203125" style="126" bestFit="1" customWidth="1"/>
    <col min="16" max="16" width="15.109375" style="126" bestFit="1" customWidth="1"/>
    <col min="17" max="17" width="16.33203125" style="126" bestFit="1" customWidth="1"/>
    <col min="18" max="18" width="22.33203125" style="126" bestFit="1" customWidth="1"/>
    <col min="19" max="19" width="15.109375" style="126" bestFit="1" customWidth="1"/>
    <col min="20" max="20" width="28.88671875" style="126" bestFit="1" customWidth="1"/>
    <col min="21" max="24" width="11.109375" style="126" bestFit="1" customWidth="1"/>
    <col min="25" max="25" width="11.33203125" style="126" bestFit="1" customWidth="1"/>
    <col min="26" max="16384" width="8.88671875" style="126"/>
  </cols>
  <sheetData>
    <row r="1" spans="1:16" ht="16.2" thickBot="1" x14ac:dyDescent="0.35">
      <c r="A1" s="1108" t="s">
        <v>389</v>
      </c>
      <c r="B1" s="1109"/>
      <c r="C1" s="1109"/>
      <c r="D1" s="1109"/>
      <c r="E1" s="1110" t="s">
        <v>387</v>
      </c>
      <c r="F1" s="1110"/>
      <c r="G1" s="1111"/>
      <c r="H1" s="543"/>
      <c r="I1" s="543"/>
    </row>
    <row r="2" spans="1:16" ht="16.2" thickBot="1" x14ac:dyDescent="0.35">
      <c r="A2" s="521" t="str">
        <f>Directions!A2</f>
        <v>DT2220     07/2022</v>
      </c>
      <c r="B2" s="522"/>
      <c r="C2" s="523"/>
      <c r="D2" s="523"/>
      <c r="E2" s="523"/>
      <c r="F2" s="523"/>
      <c r="G2" s="523"/>
    </row>
    <row r="3" spans="1:16" ht="15" thickBot="1" x14ac:dyDescent="0.35">
      <c r="N3" s="1165" t="s">
        <v>356</v>
      </c>
      <c r="O3" s="1166"/>
      <c r="P3" s="1167"/>
    </row>
    <row r="4" spans="1:16" ht="15" thickBot="1" x14ac:dyDescent="0.35">
      <c r="C4" s="1165" t="s">
        <v>297</v>
      </c>
      <c r="D4" s="1167"/>
      <c r="G4" s="1165" t="s">
        <v>300</v>
      </c>
      <c r="H4" s="1167"/>
      <c r="I4" s="127"/>
      <c r="J4" s="127"/>
      <c r="N4" s="137" t="s">
        <v>77</v>
      </c>
      <c r="O4" s="148" t="s">
        <v>191</v>
      </c>
      <c r="P4" s="136" t="s">
        <v>340</v>
      </c>
    </row>
    <row r="5" spans="1:16" ht="15" thickBot="1" x14ac:dyDescent="0.35">
      <c r="C5" s="1165" t="s">
        <v>298</v>
      </c>
      <c r="D5" s="1167"/>
      <c r="G5" s="139" t="s">
        <v>301</v>
      </c>
      <c r="H5" s="139">
        <f>COUNTIF('4 Mix Design'!D16:D18,"&gt;0")</f>
        <v>0</v>
      </c>
      <c r="N5" s="138" t="s">
        <v>167</v>
      </c>
      <c r="O5" s="149">
        <f>'2 Aggregate System'!I13</f>
        <v>0</v>
      </c>
      <c r="P5" s="131">
        <f>IF(AND('4 Mix Design'!D16&gt;0,O5=0),"SG?",O5)</f>
        <v>0</v>
      </c>
    </row>
    <row r="6" spans="1:16" ht="15" thickBot="1" x14ac:dyDescent="0.35">
      <c r="C6" s="135" t="s">
        <v>278</v>
      </c>
      <c r="D6" s="136">
        <f>'3 Paste Quality'!C25</f>
        <v>0</v>
      </c>
      <c r="G6" s="139" t="s">
        <v>302</v>
      </c>
      <c r="H6" s="143" t="str">
        <f>IF(OR('4 Mix Design'!$H$28&gt;27.25,'4 Mix Design'!H28&lt;27.15),"VOL. ERROR",'4 Mix Design'!H28)</f>
        <v>VOL. ERROR</v>
      </c>
      <c r="N6" s="138" t="s">
        <v>168</v>
      </c>
      <c r="O6" s="149">
        <f>'2 Aggregate System'!I14</f>
        <v>0</v>
      </c>
      <c r="P6" s="131">
        <f>IF(AND('4 Mix Design'!D17&gt;0,O6=0),"SG?",O6)</f>
        <v>0</v>
      </c>
    </row>
    <row r="7" spans="1:16" ht="15" thickBot="1" x14ac:dyDescent="0.35">
      <c r="C7" s="132" t="s">
        <v>299</v>
      </c>
      <c r="D7" s="134">
        <f>'3 Paste Quality'!C26</f>
        <v>0</v>
      </c>
      <c r="G7" s="1165" t="s">
        <v>303</v>
      </c>
      <c r="H7" s="1167"/>
      <c r="I7" s="127"/>
      <c r="J7" s="127"/>
      <c r="N7" s="138" t="s">
        <v>185</v>
      </c>
      <c r="O7" s="149">
        <f>'2 Aggregate System'!I15</f>
        <v>0</v>
      </c>
      <c r="P7" s="131">
        <f>IF(AND('4 Mix Design'!D18&gt;0,O7=0),"SG?",O7)</f>
        <v>0</v>
      </c>
    </row>
    <row r="8" spans="1:16" ht="15" thickBot="1" x14ac:dyDescent="0.35">
      <c r="C8" s="1162" t="s">
        <v>296</v>
      </c>
      <c r="D8" s="1164"/>
      <c r="G8" s="1165" t="str">
        <f>'4 Mix Design'!H11</f>
        <v>Standard</v>
      </c>
      <c r="H8" s="1167"/>
      <c r="I8" s="127"/>
      <c r="J8" s="127"/>
      <c r="N8" s="138" t="s">
        <v>186</v>
      </c>
      <c r="O8" s="149">
        <f>'2 Aggregate System'!I16</f>
        <v>0</v>
      </c>
      <c r="P8" s="131">
        <f>IF(AND('4 Mix Design'!D19&gt;0,O8=0),"SG?",O8)</f>
        <v>0</v>
      </c>
    </row>
    <row r="9" spans="1:16" ht="15" thickBot="1" x14ac:dyDescent="0.35">
      <c r="C9" s="139" t="s">
        <v>77</v>
      </c>
      <c r="D9" s="139" t="s">
        <v>341</v>
      </c>
      <c r="E9" s="139" t="s">
        <v>340</v>
      </c>
      <c r="G9" s="137" t="s">
        <v>247</v>
      </c>
      <c r="H9" s="537" t="s">
        <v>246</v>
      </c>
      <c r="I9" s="178" t="s">
        <v>339</v>
      </c>
      <c r="J9" s="538" t="s">
        <v>340</v>
      </c>
      <c r="N9" s="138" t="s">
        <v>187</v>
      </c>
      <c r="O9" s="149">
        <f>'2 Aggregate System'!I17</f>
        <v>0</v>
      </c>
      <c r="P9" s="131">
        <f>IF(AND('4 Mix Design'!D20&gt;0,O9=0),"SG?",O9)</f>
        <v>0</v>
      </c>
    </row>
    <row r="10" spans="1:16" x14ac:dyDescent="0.3">
      <c r="C10" s="137" t="s">
        <v>304</v>
      </c>
      <c r="D10" s="137">
        <f>'3 Paste Quality'!B32</f>
        <v>0</v>
      </c>
      <c r="E10" s="172" t="str">
        <f>IF(D10&lt;'3 Paste Quality'!$C$27,"CM ERROR",'3 Paste Quality'!B32)</f>
        <v>CM ERROR</v>
      </c>
      <c r="G10" s="138">
        <f>IF($G$8="100% Passing 1 inch",'5 Agg Analysis'!U27,IF($G$8="Standard",'5 Agg Analysis'!S27,"ERROR"))</f>
        <v>100</v>
      </c>
      <c r="H10" s="535">
        <f>IF($G$8="100% Passing 1 inch",'5 Agg Analysis'!T27,IF($G$8="Standard",'5 Agg Analysis'!R27,"ERROR"))</f>
        <v>100</v>
      </c>
      <c r="I10" s="140" t="str">
        <f>IF(AND($G$8="100% Passing 1 inch",OR('5 Agg Analysis'!$AB$59&lt;100,'5 Agg Analysis'!$AC$59&lt;100,'5 Agg Analysis'!$AD$59&lt;100)),"GRAD. ERROR",IF(AND($G$8="Standard",'6 Calculation Check'!$H$5&lt;2),"GRAD. ERROR",IF(AND($G$8="Standard",$C$47=100,$D$47=100),"GRAD. ERROR",IF($G$8="","ERROR",IF(M45="AGG. ERROR","AGG. ERROR",'5 Agg Analysis'!AL57)))))</f>
        <v>GRAD. ERROR</v>
      </c>
      <c r="J10" s="539" t="str">
        <f>IF('4 Mix Design'!$H$28="CM ERROR","CM ERROR",IF($E$11="FAIL","W/CM ERROR",IF(I10="AGG. ERROR","AGG. ERROR",IF(OR($H$6&lt;27.15,$H$6&gt;27.25),"VOL. ERROR",IF(AND(I10&lt;=G10,I10&gt;=H10),"Pass","Fail")))))</f>
        <v>VOL. ERROR</v>
      </c>
      <c r="N10" s="138" t="s">
        <v>66</v>
      </c>
      <c r="O10" s="149">
        <f>'3 Paste Quality'!E13</f>
        <v>0</v>
      </c>
      <c r="P10" s="131" t="str">
        <f>IF($D$15="ERROR: &gt;30%","CM ERROR",IF(AND('4 Mix Design'!D21&gt;0,O10=0),"SG?",O10))</f>
        <v>SG?</v>
      </c>
    </row>
    <row r="11" spans="1:16" x14ac:dyDescent="0.3">
      <c r="C11" s="138" t="s">
        <v>69</v>
      </c>
      <c r="D11" s="184">
        <f>'3 Paste Quality'!B33</f>
        <v>0</v>
      </c>
      <c r="E11" s="173" t="str">
        <f>IF(D11=0,"w/cm ?",IF(D11&lt;='3 Paste Quality'!C28,"PASS","FAIL"))</f>
        <v>w/cm ?</v>
      </c>
      <c r="F11" s="144"/>
      <c r="G11" s="138">
        <f>IF($G$8="100% Passing 1 inch",'5 Agg Analysis'!U28,IF($G$8="Standard",'5 Agg Analysis'!S28,"ERROR"))</f>
        <v>100</v>
      </c>
      <c r="H11" s="535">
        <f>IF($G$8="100% Passing 1 inch",'5 Agg Analysis'!T28,IF($G$8="Standard",'5 Agg Analysis'!R28,"ERROR"))</f>
        <v>96</v>
      </c>
      <c r="I11" s="140" t="str">
        <f>IF(AND($G$8="100% Passing 1 inch",OR('5 Agg Analysis'!$AB$59&lt;100,'5 Agg Analysis'!$AC$59&lt;100,'5 Agg Analysis'!$AD$59&lt;100)),"GRAD. ERROR",IF(AND($G$8="Standard",'6 Calculation Check'!$H$5&lt;2),"GRAD. ERROR",IF(AND($G$8="Standard",$C$47=100,$D$47=100),"GRAD. ERROR",IF($G$8="","ERROR",IF(M46="AGG. ERROR","AGG. ERROR",'5 Agg Analysis'!AL58)))))</f>
        <v>GRAD. ERROR</v>
      </c>
      <c r="J11" s="539" t="str">
        <f>IF('4 Mix Design'!$H$28="CM ERROR","CM ERROR",IF($E$11="FAIL","W/CM ERROR",IF(I11="AGG. ERROR","AGG. ERROR",IF(OR($H$6&lt;27.15,$H$6&gt;27.25),"VOL. ERROR",IF(AND(I11&lt;=G11,I11&gt;=H11),"Pass","Fail")))))</f>
        <v>VOL. ERROR</v>
      </c>
      <c r="N11" s="138" t="s">
        <v>355</v>
      </c>
      <c r="O11" s="149">
        <f>'3 Paste Quality'!E14</f>
        <v>0</v>
      </c>
      <c r="P11" s="131">
        <f>IF($D$15="ERROR: &gt;30%","CM ERROR",IF(AND('4 Mix Design'!D22&gt;0,O11=0),"SG?",O11))</f>
        <v>0</v>
      </c>
    </row>
    <row r="12" spans="1:16" x14ac:dyDescent="0.3">
      <c r="C12" s="138" t="s">
        <v>294</v>
      </c>
      <c r="D12" s="170">
        <f>'3 Paste Quality'!B34</f>
        <v>0</v>
      </c>
      <c r="E12" s="174" t="str">
        <f>IF(OR(D12=0),"AIR ?","PASS")</f>
        <v>AIR ?</v>
      </c>
      <c r="F12" s="145"/>
      <c r="G12" s="138">
        <f>IF($G$8="100% Passing 1 inch",'5 Agg Analysis'!U29,IF($G$8="Standard",'5 Agg Analysis'!S29,"ERROR"))</f>
        <v>99</v>
      </c>
      <c r="H12" s="535">
        <f>IF($G$8="100% Passing 1 inch",'5 Agg Analysis'!T29,IF($G$8="Standard",'5 Agg Analysis'!R29,"ERROR"))</f>
        <v>70</v>
      </c>
      <c r="I12" s="140" t="str">
        <f>IF(AND($G$8="100% Passing 1 inch",OR('5 Agg Analysis'!$AB$59&lt;100,'5 Agg Analysis'!$AC$59&lt;100,'5 Agg Analysis'!$AD$59&lt;100)),"GRAD. ERROR",IF(AND($G$8="Standard",'6 Calculation Check'!$H$5&lt;2),"GRAD. ERROR",IF(AND($G$8="Standard",$C$47=100,$D$47=100),"GRAD. ERROR",IF($G$8="","ERROR",IF(M47="AGG. ERROR","AGG. ERROR",'5 Agg Analysis'!AL59)))))</f>
        <v>GRAD. ERROR</v>
      </c>
      <c r="J12" s="539" t="str">
        <f>IF('4 Mix Design'!$H$28="CM ERROR","CM ERROR",IF($E$11="FAIL","W/CM ERROR",IF(I12="AGG. ERROR","AGG. ERROR",IF(OR($H$6&lt;27.15,$H$6&gt;27.25),"VOL. ERROR",IF(AND(I12&lt;=G12,I12&gt;=H12),"Pass","Fail")))))</f>
        <v>VOL. ERROR</v>
      </c>
      <c r="N12" s="138" t="s">
        <v>70</v>
      </c>
      <c r="O12" s="149">
        <f>'3 Paste Quality'!E15</f>
        <v>0</v>
      </c>
      <c r="P12" s="131">
        <f>IF($D$15="ERROR: &gt;30%","CM ERROR",IF(AND('4 Mix Design'!D23&gt;0,O12=0),"SG?",O12))</f>
        <v>0</v>
      </c>
    </row>
    <row r="13" spans="1:16" ht="15" thickBot="1" x14ac:dyDescent="0.35">
      <c r="C13" s="155" t="s">
        <v>175</v>
      </c>
      <c r="D13" s="176">
        <f>'3 Paste Quality'!B35</f>
        <v>0</v>
      </c>
      <c r="E13" s="175" t="str">
        <f>IF($D$7="Class II","Not required",IF($D$7="Class III", "Not required",IF(D13=0,"SAM #?",D13)))</f>
        <v>SAM #?</v>
      </c>
      <c r="G13" s="138">
        <f>IF($G$8="100% Passing 1 inch",'5 Agg Analysis'!U30,IF($G$8="Standard",'5 Agg Analysis'!S30,"ERROR"))</f>
        <v>96</v>
      </c>
      <c r="H13" s="535">
        <f>IF($G$8="100% Passing 1 inch",'5 Agg Analysis'!T30,IF($G$8="Standard",'5 Agg Analysis'!R30,"ERROR"))</f>
        <v>55</v>
      </c>
      <c r="I13" s="140" t="str">
        <f>IF(AND($G$8="100% Passing 1 inch",OR('5 Agg Analysis'!$AB$59&lt;100,'5 Agg Analysis'!$AC$59&lt;100,'5 Agg Analysis'!$AD$59&lt;100)),"GRAD. ERROR",IF(AND($G$8="Standard",'6 Calculation Check'!$H$5&lt;2),"GRAD. ERROR",IF(AND($G$8="Standard",$C$47=100,$D$47=100),"GRAD. ERROR",IF($G$8="","ERROR",IF(M48="AGG. ERROR","AGG. ERROR",'5 Agg Analysis'!AL60)))))</f>
        <v>GRAD. ERROR</v>
      </c>
      <c r="J13" s="539" t="str">
        <f>IF('4 Mix Design'!$H$28="CM ERROR","CM ERROR",IF($E$11="FAIL","W/CM ERROR",IF(I13="AGG. ERROR","AGG. ERROR",IF(OR($H$6&lt;27.15,$H$6&gt;27.25),"VOL. ERROR",IF(AND(I13&lt;=G13,I13&gt;=H13),"Pass","Fail")))))</f>
        <v>VOL. ERROR</v>
      </c>
      <c r="N13" s="138" t="s">
        <v>220</v>
      </c>
      <c r="O13" s="149">
        <f>'3 Paste Quality'!E16</f>
        <v>0</v>
      </c>
      <c r="P13" s="131">
        <f>IF($D$15="ERROR: &gt;30%","CM ERROR",IF(AND('4 Mix Design'!D24&gt;0,O13=0),"SG?",O13))</f>
        <v>0</v>
      </c>
    </row>
    <row r="14" spans="1:16" ht="15" thickBot="1" x14ac:dyDescent="0.35">
      <c r="C14" s="1165" t="s">
        <v>295</v>
      </c>
      <c r="D14" s="1167"/>
      <c r="G14" s="138">
        <f>IF($G$8="100% Passing 1 inch",'5 Agg Analysis'!U31,IF($G$8="Standard",'5 Agg Analysis'!S31,"ERROR"))</f>
        <v>86</v>
      </c>
      <c r="H14" s="535">
        <f>IF($G$8="100% Passing 1 inch",'5 Agg Analysis'!T31,IF($G$8="Standard",'5 Agg Analysis'!R31,"ERROR"))</f>
        <v>48</v>
      </c>
      <c r="I14" s="140" t="str">
        <f>IF(AND($G$8="100% Passing 1 inch",OR('5 Agg Analysis'!$AB$59&lt;100,'5 Agg Analysis'!$AC$59&lt;100,'5 Agg Analysis'!$AD$59&lt;100)),"GRAD. ERROR",IF(AND($G$8="Standard",'6 Calculation Check'!$H$5&lt;2),"GRAD. ERROR",IF(AND($G$8="Standard",$C$47=100,$D$47=100),"GRAD. ERROR",IF($G$8="","ERROR",IF(M49="AGG. ERROR","AGG. ERROR",'5 Agg Analysis'!AL61)))))</f>
        <v>GRAD. ERROR</v>
      </c>
      <c r="J14" s="539" t="str">
        <f>IF('4 Mix Design'!$H$28="CM ERROR","CM ERROR",IF($E$11="FAIL","W/CM ERROR",IF(I14="AGG. ERROR","AGG. ERROR",IF(OR($H$6&lt;27.15,$H$6&gt;27.25),"VOL. ERROR",IF(AND(I14&lt;=G14,I14&gt;=H14),"Pass","Fail")))))</f>
        <v>VOL. ERROR</v>
      </c>
      <c r="N14" s="155" t="s">
        <v>222</v>
      </c>
      <c r="O14" s="150">
        <f>'3 Paste Quality'!E17</f>
        <v>0</v>
      </c>
      <c r="P14" s="134">
        <f>IF($D$15="ERROR: &gt;30%","CM ERROR",IF(AND('4 Mix Design'!D25&gt;0,O14=0),"SG?",O14))</f>
        <v>0</v>
      </c>
    </row>
    <row r="15" spans="1:16" ht="15" thickBot="1" x14ac:dyDescent="0.35">
      <c r="C15" s="139" t="s">
        <v>306</v>
      </c>
      <c r="D15" s="153">
        <v>30</v>
      </c>
      <c r="G15" s="138">
        <f>IF($G$8="100% Passing 1 inch",'5 Agg Analysis'!U32,IF($G$8="Standard",'5 Agg Analysis'!S32,"ERROR"))</f>
        <v>77</v>
      </c>
      <c r="H15" s="535">
        <f>IF($G$8="100% Passing 1 inch",'5 Agg Analysis'!T32,IF($G$8="Standard",'5 Agg Analysis'!R32,"ERROR"))</f>
        <v>38</v>
      </c>
      <c r="I15" s="140" t="str">
        <f>IF(AND($G$8="100% Passing 1 inch",OR('5 Agg Analysis'!$AB$59&lt;100,'5 Agg Analysis'!$AC$59&lt;100,'5 Agg Analysis'!$AD$59&lt;100)),"GRAD. ERROR",IF(AND($G$8="Standard",'6 Calculation Check'!$H$5&lt;2),"GRAD. ERROR",IF(AND($G$8="Standard",$C$47=100,$D$47=100),"GRAD. ERROR",IF($G$8="","ERROR",IF(M50="AGG. ERROR","AGG. ERROR",'5 Agg Analysis'!AL62)))))</f>
        <v>GRAD. ERROR</v>
      </c>
      <c r="J15" s="539" t="str">
        <f>IF('4 Mix Design'!$H$28="CM ERROR","CM ERROR",IF($E$11="FAIL","W/CM ERROR",IF(I15="AGG. ERROR","AGG. ERROR",IF(OR($H$6&lt;27.15,$H$6&gt;27.25),"VOL. ERROR",IF(AND(I15&lt;=G15,I15&gt;=H15),"Pass","Fail")))))</f>
        <v>VOL. ERROR</v>
      </c>
    </row>
    <row r="16" spans="1:16" ht="15" thickBot="1" x14ac:dyDescent="0.35">
      <c r="C16" s="139" t="s">
        <v>77</v>
      </c>
      <c r="D16" s="139" t="s">
        <v>341</v>
      </c>
      <c r="E16" s="139" t="s">
        <v>340</v>
      </c>
      <c r="G16" s="138">
        <f>IF($G$8="100% Passing 1 inch",'5 Agg Analysis'!U33,IF($G$8="Standard",'5 Agg Analysis'!S33,"ERROR"))</f>
        <v>60</v>
      </c>
      <c r="H16" s="535">
        <f>IF($G$8="100% Passing 1 inch",'5 Agg Analysis'!T33,IF($G$8="Standard",'5 Agg Analysis'!R33,"ERROR"))</f>
        <v>30</v>
      </c>
      <c r="I16" s="140" t="str">
        <f>IF(AND($G$8="100% Passing 1 inch",OR('5 Agg Analysis'!$AB$59&lt;100,'5 Agg Analysis'!$AC$59&lt;100,'5 Agg Analysis'!$AD$59&lt;100)),"GRAD. ERROR",IF(AND($G$8="Standard",'6 Calculation Check'!$H$5&lt;2),"GRAD. ERROR",IF(AND($G$8="Standard",$C$47=100,$D$47=100),"GRAD. ERROR",IF($G$8="","ERROR",IF(M51="AGG. ERROR","AGG. ERROR",'5 Agg Analysis'!AL63)))))</f>
        <v>GRAD. ERROR</v>
      </c>
      <c r="J16" s="539" t="str">
        <f>IF('4 Mix Design'!$H$28="CM ERROR","CM ERROR",IF($E$11="FAIL","W/CM ERROR",IF(I16="AGG. ERROR","AGG. ERROR",IF(OR($H$6&lt;27.15,$H$6&gt;27.25),"VOL. ERROR",IF(AND(I16&lt;=G16,I16&gt;=H16),"Pass","Fail")))))</f>
        <v>VOL. ERROR</v>
      </c>
    </row>
    <row r="17" spans="3:20" ht="15" thickBot="1" x14ac:dyDescent="0.35">
      <c r="C17" s="137" t="s">
        <v>67</v>
      </c>
      <c r="D17" s="179">
        <f>'3 Paste Quality'!B37</f>
        <v>0</v>
      </c>
      <c r="E17" s="154">
        <f>IF(SUM(D17:D20)&lt;=$D$15,SUM(D17:D20),"ERROR: &gt;30%")</f>
        <v>0</v>
      </c>
      <c r="F17" s="146"/>
      <c r="G17" s="138">
        <f>IF($G$8="100% Passing 1 inch",'5 Agg Analysis'!U34,IF($G$8="Standard",'5 Agg Analysis'!S34,"ERROR"))</f>
        <v>53</v>
      </c>
      <c r="H17" s="535">
        <f>IF($G$8="100% Passing 1 inch",'5 Agg Analysis'!T34,IF($G$8="Standard",'5 Agg Analysis'!R34,"ERROR"))</f>
        <v>25</v>
      </c>
      <c r="I17" s="140" t="str">
        <f>IF(AND($G$8="100% Passing 1 inch",OR('5 Agg Analysis'!$AB$59&lt;100,'5 Agg Analysis'!$AC$59&lt;100,'5 Agg Analysis'!$AD$59&lt;100)),"GRAD. ERROR",IF(AND($G$8="Standard",'6 Calculation Check'!$H$5&lt;2),"GRAD. ERROR",IF(AND($G$8="Standard",$C$47=100,$D$47=100),"GRAD. ERROR",IF($G$8="","ERROR",IF(M52="AGG. ERROR","AGG. ERROR",'5 Agg Analysis'!AL64)))))</f>
        <v>GRAD. ERROR</v>
      </c>
      <c r="J17" s="539" t="str">
        <f>IF('4 Mix Design'!$H$28="CM ERROR","CM ERROR",IF($E$11="FAIL","W/CM ERROR",IF(I17="AGG. ERROR","AGG. ERROR",IF(OR($H$6&lt;27.15,$H$6&gt;27.25),"VOL. ERROR",IF(AND(I17&lt;=G17,I17&gt;=H17),"Pass","Fail")))))</f>
        <v>VOL. ERROR</v>
      </c>
    </row>
    <row r="18" spans="3:20" ht="15" thickBot="1" x14ac:dyDescent="0.35">
      <c r="C18" s="177" t="s">
        <v>70</v>
      </c>
      <c r="D18" s="180">
        <f>'3 Paste Quality'!B38</f>
        <v>0</v>
      </c>
      <c r="G18" s="138">
        <f>IF($G$8="100% Passing 1 inch",'5 Agg Analysis'!U35,IF($G$8="Standard",'5 Agg Analysis'!S35,"ERROR"))</f>
        <v>44</v>
      </c>
      <c r="H18" s="535">
        <f>IF($G$8="100% Passing 1 inch",'5 Agg Analysis'!T35,IF($G$8="Standard",'5 Agg Analysis'!R35,"ERROR"))</f>
        <v>20</v>
      </c>
      <c r="I18" s="140" t="str">
        <f>IF(AND($G$8="100% Passing 1 inch",OR('5 Agg Analysis'!$AB$59&lt;100,'5 Agg Analysis'!$AC$59&lt;100,'5 Agg Analysis'!$AD$59&lt;100)),"GRAD. ERROR",IF(AND($G$8="Standard",'6 Calculation Check'!$H$5&lt;2),"GRAD. ERROR",IF(AND($G$8="Standard",$C$47=100,$D$47=100),"GRAD. ERROR",IF($G$8="","ERROR",IF(M53="AGG. ERROR","AGG. ERROR",'5 Agg Analysis'!AL65)))))</f>
        <v>GRAD. ERROR</v>
      </c>
      <c r="J18" s="539" t="str">
        <f>IF('4 Mix Design'!$H$28="CM ERROR","CM ERROR",IF($E$11="FAIL","W/CM ERROR",IF(I18="AGG. ERROR","AGG. ERROR",IF(OR($H$6&lt;27.15,$H$6&gt;27.25),"VOL. ERROR",IF(AND(I18&lt;=G18,I18&gt;=H18),"Pass","Fail")))))</f>
        <v>VOL. ERROR</v>
      </c>
    </row>
    <row r="19" spans="3:20" ht="15" thickBot="1" x14ac:dyDescent="0.35">
      <c r="C19" s="138" t="s">
        <v>220</v>
      </c>
      <c r="D19" s="181">
        <f>'3 Paste Quality'!B39</f>
        <v>0</v>
      </c>
      <c r="G19" s="138">
        <f>IF($G$8="100% Passing 1 inch",'5 Agg Analysis'!U36,IF($G$8="Standard",'5 Agg Analysis'!S36,"ERROR"))</f>
        <v>32</v>
      </c>
      <c r="H19" s="535">
        <f>IF($G$8="100% Passing 1 inch",'5 Agg Analysis'!T36,IF($G$8="Standard",'5 Agg Analysis'!R36,"ERROR"))</f>
        <v>10</v>
      </c>
      <c r="I19" s="140" t="str">
        <f>IF(AND($G$8="100% Passing 1 inch",OR('5 Agg Analysis'!$AB$59&lt;100,'5 Agg Analysis'!$AC$59&lt;100,'5 Agg Analysis'!$AD$59&lt;100)),"GRAD. ERROR",IF(AND($G$8="Standard",'6 Calculation Check'!$H$5&lt;2),"GRAD. ERROR",IF(AND($G$8="Standard",$C$47=100,$D$47=100),"GRAD. ERROR",IF($G$8="","ERROR",IF(M54="AGG. ERROR","AGG. ERROR",'5 Agg Analysis'!AL66)))))</f>
        <v>GRAD. ERROR</v>
      </c>
      <c r="J19" s="539" t="str">
        <f>IF('4 Mix Design'!$H$28="CM ERROR","CM ERROR",IF($E$11="FAIL","W/CM ERROR",IF(I19="AGG. ERROR","AGG. ERROR",IF(OR($H$6&lt;27.15,$H$6&gt;27.25),"VOL. ERROR",IF(AND(I19&lt;=G19,I19&gt;=H19),"Pass","Fail")))))</f>
        <v>VOL. ERROR</v>
      </c>
      <c r="N19" s="1162" t="s">
        <v>347</v>
      </c>
      <c r="O19" s="1163"/>
      <c r="P19" s="1163"/>
      <c r="Q19" s="1163"/>
      <c r="R19" s="1163"/>
      <c r="S19" s="1163"/>
      <c r="T19" s="1164"/>
    </row>
    <row r="20" spans="3:20" ht="15" thickBot="1" x14ac:dyDescent="0.35">
      <c r="C20" s="155" t="s">
        <v>222</v>
      </c>
      <c r="D20" s="182">
        <f>'3 Paste Quality'!B40</f>
        <v>0</v>
      </c>
      <c r="G20" s="138">
        <f>IF($G$8="100% Passing 1 inch",'5 Agg Analysis'!U37,IF($G$8="Standard",'5 Agg Analysis'!S37,"ERROR"))</f>
        <v>14</v>
      </c>
      <c r="H20" s="535">
        <f>IF($G$8="100% Passing 1 inch",'5 Agg Analysis'!T37,IF($G$8="Standard",'5 Agg Analysis'!R37,"ERROR"))</f>
        <v>2</v>
      </c>
      <c r="I20" s="140" t="str">
        <f>IF(AND($G$8="100% Passing 1 inch",OR('5 Agg Analysis'!$AB$59&lt;100,'5 Agg Analysis'!$AC$59&lt;100,'5 Agg Analysis'!$AD$59&lt;100)),"GRAD. ERROR",IF(AND($G$8="Standard",'6 Calculation Check'!$H$5&lt;2),"GRAD. ERROR",IF(AND($G$8="Standard",$C$47=100,$D$47=100),"GRAD. ERROR",IF($G$8="","ERROR",IF(M55="AGG. ERROR","AGG. ERROR",'5 Agg Analysis'!AL67)))))</f>
        <v>GRAD. ERROR</v>
      </c>
      <c r="J20" s="539" t="str">
        <f>IF('4 Mix Design'!$H$28="CM ERROR","CM ERROR",IF($E$11="FAIL","W/CM ERROR",IF(I20="AGG. ERROR","AGG. ERROR",IF(OR($H$6&lt;27.15,$H$6&gt;27.25),"VOL. ERROR",IF(AND(I20&lt;=G20,I20&gt;=H20),"Pass","Fail")))))</f>
        <v>VOL. ERROR</v>
      </c>
      <c r="N20" s="1165" t="s">
        <v>341</v>
      </c>
      <c r="O20" s="1166"/>
      <c r="P20" s="1166"/>
      <c r="Q20" s="1167"/>
      <c r="R20" s="1165" t="s">
        <v>340</v>
      </c>
      <c r="S20" s="1166"/>
      <c r="T20" s="1167"/>
    </row>
    <row r="21" spans="3:20" x14ac:dyDescent="0.3">
      <c r="D21" s="183"/>
      <c r="G21" s="138">
        <f>IF($G$8="100% Passing 1 inch",'5 Agg Analysis'!U38,IF($G$8="Standard",'5 Agg Analysis'!S38,"ERROR"))</f>
        <v>6</v>
      </c>
      <c r="H21" s="535">
        <f>IF($G$8="100% Passing 1 inch",'5 Agg Analysis'!T38,IF($G$8="Standard",'5 Agg Analysis'!R38,"ERROR"))</f>
        <v>0</v>
      </c>
      <c r="I21" s="140" t="str">
        <f>IF(AND($G$8="100% Passing 1 inch",OR('5 Agg Analysis'!$AB$59&lt;100,'5 Agg Analysis'!$AC$59&lt;100,'5 Agg Analysis'!$AD$59&lt;100)),"GRAD. ERROR",IF(AND($G$8="Standard",'6 Calculation Check'!$H$5&lt;2),"GRAD. ERROR",IF(AND($G$8="Standard",$C$47=100,$D$47=100),"GRAD. ERROR",IF($G$8="","ERROR",IF(M56="AGG. ERROR","AGG. ERROR",'5 Agg Analysis'!AL68)))))</f>
        <v>GRAD. ERROR</v>
      </c>
      <c r="J21" s="539" t="str">
        <f>IF('4 Mix Design'!$H$28="CM ERROR","CM ERROR",IF($E$11="FAIL","W/CM ERROR",IF(I21="AGG. ERROR","AGG. ERROR",IF(OR($H$6&lt;27.15,$H$6&gt;27.25),"VOL. ERROR",IF(AND(I21&lt;=G21,I21&gt;=H21),"Pass","Fail")))))</f>
        <v>VOL. ERROR</v>
      </c>
      <c r="N21" s="135" t="s">
        <v>24</v>
      </c>
      <c r="O21" s="147" t="s">
        <v>341</v>
      </c>
      <c r="P21" s="147" t="s">
        <v>348</v>
      </c>
      <c r="Q21" s="136" t="s">
        <v>183</v>
      </c>
      <c r="R21" s="135" t="s">
        <v>348</v>
      </c>
      <c r="S21" s="147" t="s">
        <v>183</v>
      </c>
      <c r="T21" s="136" t="s">
        <v>349</v>
      </c>
    </row>
    <row r="22" spans="3:20" ht="15" thickBot="1" x14ac:dyDescent="0.35">
      <c r="G22" s="155">
        <f>IF($G$8="100% Passing 1 inch",'5 Agg Analysis'!U39,IF($G$8="Standard",'5 Agg Analysis'!S39,"ERROR"))</f>
        <v>2.2999999999999998</v>
      </c>
      <c r="H22" s="536">
        <f>IF($G$8="100% Passing 1 inch",'5 Agg Analysis'!T39,IF($G$8="Standard",'5 Agg Analysis'!R39,"ERROR"))</f>
        <v>0</v>
      </c>
      <c r="I22" s="141" t="str">
        <f>IF(AND($G$8="100% Passing 1 inch",OR('5 Agg Analysis'!$AB$59&lt;100,'5 Agg Analysis'!$AC$59&lt;100,'5 Agg Analysis'!$AD$59&lt;100)),"GRAD. ERROR",IF(AND($G$8="Standard",'6 Calculation Check'!$H$5&lt;2),"GRAD. ERROR",IF(AND($G$8="Standard",$C$47=100,$D$47=100),"GRAD. ERROR",IF($G$8="","ERROR",IF(M57="AGG. ERROR","AGG. ERROR",'5 Agg Analysis'!AL69)))))</f>
        <v>GRAD. ERROR</v>
      </c>
      <c r="J22" s="540" t="str">
        <f>IF('4 Mix Design'!$H$28="CM ERROR","CM ERROR",IF($E$11="FAIL","W/CM ERROR",IF(I22="AGG. ERROR","AGG. ERROR",IF(OR($H$6&lt;27.15,$H$6&gt;27.25),"VOL. ERROR",IF(AND(I22&lt;=G22,I22&gt;=H22),"Pass","Fail")))))</f>
        <v>VOL. ERROR</v>
      </c>
      <c r="N22" s="130" t="s">
        <v>167</v>
      </c>
      <c r="O22" s="128">
        <f>'2 Aggregate System'!B13</f>
        <v>0</v>
      </c>
      <c r="P22" s="128">
        <f>'2 Aggregate System'!D13</f>
        <v>0</v>
      </c>
      <c r="Q22" s="131">
        <f>'2 Aggregate System'!F13</f>
        <v>0</v>
      </c>
      <c r="R22" s="130" t="str">
        <f>IF(P22=0,"Source ID #?",P22)</f>
        <v>Source ID #?</v>
      </c>
      <c r="S22" s="128" t="str">
        <f t="shared" ref="S22:S26" si="0">IF(AND(O22&gt;0,Q22=0),"Test #?",IF(AND(O22=0,Q22=0),"-",Q22))</f>
        <v>-</v>
      </c>
      <c r="T22" s="131" t="str">
        <f>IF(AND(O22=0,Q22=0,Q22=0),"-",IF(AND(O22=0,P22&gt;0,Q22&gt;0),"Source Name?",IF(AND(O22&gt;0,P22=0,Q22&gt;0),"Source ID?",IF(AND(O22=0,P22=0,Q22&gt;0),"Source Name?",_xlfn.CONCAT(O22," / ",R22)))))</f>
        <v>-</v>
      </c>
    </row>
    <row r="23" spans="3:20" ht="15" thickBot="1" x14ac:dyDescent="0.35">
      <c r="E23" s="146"/>
      <c r="N23" s="130" t="s">
        <v>168</v>
      </c>
      <c r="O23" s="128">
        <f>'2 Aggregate System'!B14</f>
        <v>0</v>
      </c>
      <c r="P23" s="128">
        <f>'2 Aggregate System'!D14</f>
        <v>0</v>
      </c>
      <c r="Q23" s="131">
        <f>'2 Aggregate System'!F14</f>
        <v>0</v>
      </c>
      <c r="R23" s="130" t="str">
        <f t="shared" ref="R23:R26" si="1">IF(P23=0,"Source ID #?",P23)</f>
        <v>Source ID #?</v>
      </c>
      <c r="S23" s="128" t="str">
        <f t="shared" si="0"/>
        <v>-</v>
      </c>
      <c r="T23" s="131" t="str">
        <f t="shared" ref="T23:T26" si="2">IF(AND(O23=0,Q23=0,Q23=0),"-",IF(AND(O23=0,P23&gt;0,Q23&gt;0),"Source Name?",IF(AND(O23&gt;0,P23=0,Q23&gt;0),"Source ID?",IF(AND(O23=0,P23=0,Q23&gt;0),"Source Name?",_xlfn.CONCAT(O23," / ",R23)))))</f>
        <v>-</v>
      </c>
    </row>
    <row r="24" spans="3:20" ht="16.2" thickBot="1" x14ac:dyDescent="0.35">
      <c r="C24" s="1171" t="s">
        <v>360</v>
      </c>
      <c r="D24" s="1172"/>
      <c r="E24" s="1172"/>
      <c r="F24" s="1172"/>
      <c r="G24" s="1173"/>
      <c r="N24" s="130" t="s">
        <v>185</v>
      </c>
      <c r="O24" s="128">
        <f>'2 Aggregate System'!B15</f>
        <v>0</v>
      </c>
      <c r="P24" s="128">
        <f>'2 Aggregate System'!D15</f>
        <v>0</v>
      </c>
      <c r="Q24" s="131">
        <f>'2 Aggregate System'!F15</f>
        <v>0</v>
      </c>
      <c r="R24" s="130" t="str">
        <f t="shared" si="1"/>
        <v>Source ID #?</v>
      </c>
      <c r="S24" s="128" t="str">
        <f>IF(AND(O24&gt;0,Q24=0),"Test #?",IF(AND(O24=0,Q24=0),"-",Q24))</f>
        <v>-</v>
      </c>
      <c r="T24" s="131" t="str">
        <f t="shared" si="2"/>
        <v>-</v>
      </c>
    </row>
    <row r="25" spans="3:20" x14ac:dyDescent="0.3">
      <c r="C25" s="156" t="s">
        <v>77</v>
      </c>
      <c r="D25" s="157" t="s">
        <v>191</v>
      </c>
      <c r="E25" s="157" t="s">
        <v>190</v>
      </c>
      <c r="F25" s="157" t="s">
        <v>358</v>
      </c>
      <c r="G25" s="158" t="s">
        <v>340</v>
      </c>
      <c r="N25" s="130" t="s">
        <v>186</v>
      </c>
      <c r="O25" s="128">
        <f>'2 Aggregate System'!B16</f>
        <v>0</v>
      </c>
      <c r="P25" s="128">
        <f>'2 Aggregate System'!D16</f>
        <v>0</v>
      </c>
      <c r="Q25" s="131">
        <f>'2 Aggregate System'!F16</f>
        <v>0</v>
      </c>
      <c r="R25" s="130" t="str">
        <f t="shared" si="1"/>
        <v>Source ID #?</v>
      </c>
      <c r="S25" s="128" t="str">
        <f t="shared" si="0"/>
        <v>-</v>
      </c>
      <c r="T25" s="131" t="str">
        <f t="shared" si="2"/>
        <v>-</v>
      </c>
    </row>
    <row r="26" spans="3:20" ht="15" thickBot="1" x14ac:dyDescent="0.35">
      <c r="C26" s="130" t="s">
        <v>167</v>
      </c>
      <c r="D26" s="128">
        <f t="shared" ref="D26:D35" si="3">P5</f>
        <v>0</v>
      </c>
      <c r="E26" s="159">
        <f>'4 Mix Design'!D16</f>
        <v>0</v>
      </c>
      <c r="F26" s="128">
        <f>IFERROR(E26/(62.4*D26),0)</f>
        <v>0</v>
      </c>
      <c r="G26" s="131" t="str">
        <f>IF(D26="SG?","AGG. ERROR",IF(E26=0,"-",F26))</f>
        <v>-</v>
      </c>
      <c r="N26" s="132" t="s">
        <v>187</v>
      </c>
      <c r="O26" s="133">
        <f>'2 Aggregate System'!B17</f>
        <v>0</v>
      </c>
      <c r="P26" s="133">
        <f>'2 Aggregate System'!D17</f>
        <v>0</v>
      </c>
      <c r="Q26" s="134">
        <f>'2 Aggregate System'!F17</f>
        <v>0</v>
      </c>
      <c r="R26" s="132" t="str">
        <f t="shared" si="1"/>
        <v>Source ID #?</v>
      </c>
      <c r="S26" s="133" t="str">
        <f t="shared" si="0"/>
        <v>-</v>
      </c>
      <c r="T26" s="134" t="str">
        <f t="shared" si="2"/>
        <v>-</v>
      </c>
    </row>
    <row r="27" spans="3:20" ht="15" thickBot="1" x14ac:dyDescent="0.35">
      <c r="C27" s="130" t="s">
        <v>168</v>
      </c>
      <c r="D27" s="128">
        <f t="shared" si="3"/>
        <v>0</v>
      </c>
      <c r="E27" s="159">
        <f>'4 Mix Design'!D17</f>
        <v>0</v>
      </c>
      <c r="F27" s="128">
        <f>IFERROR(E27/(62.4*D27),0)</f>
        <v>0</v>
      </c>
      <c r="G27" s="131" t="str">
        <f t="shared" ref="G27:G30" si="4">IF(D27="SG?","AGG. ERROR",IF(E27=0,"-",F27))</f>
        <v>-</v>
      </c>
    </row>
    <row r="28" spans="3:20" ht="15" thickBot="1" x14ac:dyDescent="0.35">
      <c r="C28" s="130" t="s">
        <v>185</v>
      </c>
      <c r="D28" s="128">
        <f t="shared" si="3"/>
        <v>0</v>
      </c>
      <c r="E28" s="159">
        <f>'4 Mix Design'!D18</f>
        <v>0</v>
      </c>
      <c r="F28" s="128">
        <f>IFERROR(E28/(62.4*D28),0)</f>
        <v>0</v>
      </c>
      <c r="G28" s="131" t="str">
        <f t="shared" si="4"/>
        <v>-</v>
      </c>
      <c r="N28" s="1165" t="s">
        <v>350</v>
      </c>
      <c r="O28" s="1166"/>
      <c r="P28" s="1166"/>
      <c r="Q28" s="1166"/>
      <c r="R28" s="1166"/>
      <c r="S28" s="1166"/>
      <c r="T28" s="1167"/>
    </row>
    <row r="29" spans="3:20" ht="15" thickBot="1" x14ac:dyDescent="0.35">
      <c r="C29" s="130" t="s">
        <v>186</v>
      </c>
      <c r="D29" s="128">
        <f t="shared" si="3"/>
        <v>0</v>
      </c>
      <c r="E29" s="159">
        <f>'4 Mix Design'!D19</f>
        <v>0</v>
      </c>
      <c r="F29" s="128">
        <f>IFERROR(E29/(62.4*D29),0)</f>
        <v>0</v>
      </c>
      <c r="G29" s="131" t="str">
        <f t="shared" si="4"/>
        <v>-</v>
      </c>
      <c r="N29" s="1165" t="s">
        <v>341</v>
      </c>
      <c r="O29" s="1166"/>
      <c r="P29" s="1166"/>
      <c r="Q29" s="1167"/>
      <c r="R29" s="1168" t="s">
        <v>340</v>
      </c>
      <c r="S29" s="1166"/>
      <c r="T29" s="1167"/>
    </row>
    <row r="30" spans="3:20" ht="15" thickBot="1" x14ac:dyDescent="0.35">
      <c r="C30" s="162" t="s">
        <v>187</v>
      </c>
      <c r="D30" s="163">
        <f t="shared" si="3"/>
        <v>0</v>
      </c>
      <c r="E30" s="164">
        <f>'4 Mix Design'!D20</f>
        <v>0</v>
      </c>
      <c r="F30" s="128">
        <f>IFERROR(E30/(62.4*D30),0)</f>
        <v>0</v>
      </c>
      <c r="G30" s="131" t="str">
        <f t="shared" si="4"/>
        <v>-</v>
      </c>
      <c r="N30" s="135" t="s">
        <v>24</v>
      </c>
      <c r="O30" s="147" t="s">
        <v>62</v>
      </c>
      <c r="P30" s="147" t="s">
        <v>63</v>
      </c>
      <c r="Q30" s="136" t="s">
        <v>331</v>
      </c>
      <c r="R30" s="148" t="s">
        <v>62</v>
      </c>
      <c r="S30" s="147" t="s">
        <v>63</v>
      </c>
      <c r="T30" s="136" t="s">
        <v>331</v>
      </c>
    </row>
    <row r="31" spans="3:20" x14ac:dyDescent="0.3">
      <c r="C31" s="156" t="s">
        <v>66</v>
      </c>
      <c r="D31" s="157" t="str">
        <f t="shared" si="3"/>
        <v>SG?</v>
      </c>
      <c r="E31" s="157">
        <f>'3 Paste Quality'!$B$32-(E17/100)*'3 Paste Quality'!$B$32</f>
        <v>0</v>
      </c>
      <c r="F31" s="160">
        <f>IF(OR(D31=0,D31="",E31=0,E31=""),0,E31/(62.4*D31))</f>
        <v>0</v>
      </c>
      <c r="G31" s="158" t="str">
        <f>IF($E$10="CM ERROR","CM ERROR",IF($E$17&gt;$D$15,"ERROR: &gt;30%",F31))</f>
        <v>CM ERROR</v>
      </c>
      <c r="N31" s="130" t="s">
        <v>66</v>
      </c>
      <c r="O31" s="128">
        <f>'3 Paste Quality'!B13</f>
        <v>0</v>
      </c>
      <c r="P31" s="128">
        <f>'3 Paste Quality'!C13</f>
        <v>0</v>
      </c>
      <c r="Q31" s="151">
        <f>'3 Paste Quality'!D13</f>
        <v>0</v>
      </c>
      <c r="R31" s="149" t="str">
        <f>IF(AND(O31=0,P31=0,Q31=0),"Cement?",IF(AND(O31=0,P31&gt;0,Q31&gt;0),"Manufacturer?",IF(AND(O31=0,P31=0,Q31&gt;0),"Manufacturer?",IF(AND(O31=0,P31&gt;0,Q31=0),"Manufacturer?",O31))))</f>
        <v>Cement?</v>
      </c>
      <c r="S31" s="128" t="str">
        <f>IF(AND(O31=0,P31=0,Q31=0),"Cement?",IF(AND(O31&gt;0,P31=0,Q31&gt;0),"Source?",IF(AND(O31&gt;0,P31=0,Q31=0),"Source?",IF(AND(O31=0,P31=0,Q31&gt;0),"Source?",P31))))</f>
        <v>Cement?</v>
      </c>
      <c r="T31" s="131" t="str">
        <f>IF(AND(O31=0,P31=0,Q31=0),"Cement?",IF(AND(O31&gt;0,P31&gt;0,Q31=0),"Classification?",IF(AND(O31&gt;0,P31=0,Q31=0),"Classification?",IF(AND(O31=0,P31&gt;0,Q31=0),"Classification?",Q31))))</f>
        <v>Cement?</v>
      </c>
    </row>
    <row r="32" spans="3:20" x14ac:dyDescent="0.3">
      <c r="C32" s="130" t="s">
        <v>67</v>
      </c>
      <c r="D32" s="128">
        <f t="shared" si="3"/>
        <v>0</v>
      </c>
      <c r="E32" s="128">
        <f>(D17/100)*'3 Paste Quality'!$B$32</f>
        <v>0</v>
      </c>
      <c r="F32" s="161">
        <f>IF(OR(D32=0,D32="",E32=0,E32=""),0,E32/(62.4*D32))</f>
        <v>0</v>
      </c>
      <c r="G32" s="131" t="str">
        <f>IF(OR(P11="SG?",$E$10="CM ERROR"),"CM ERROR",IF($E$17&gt;$D$15,"ERROR: &gt;30%",IF(E32=0,0,F32)))</f>
        <v>CM ERROR</v>
      </c>
      <c r="N32" s="130" t="s">
        <v>67</v>
      </c>
      <c r="O32" s="128">
        <f>'3 Paste Quality'!B14</f>
        <v>0</v>
      </c>
      <c r="P32" s="128">
        <f>'3 Paste Quality'!C14</f>
        <v>0</v>
      </c>
      <c r="Q32" s="151">
        <f>'3 Paste Quality'!D14</f>
        <v>0</v>
      </c>
      <c r="R32" s="149" t="str">
        <f>IF(AND(O32=0,P32=0,Q32=0),"-",IF(AND(O32=0,P32&gt;0,Q32&gt;0),"Manufacturer?",IF(AND(O32=0,P32=0,Q32&gt;0),"Manufacturer?",IF(AND(O32=0,P32&gt;0,Q32=0),"Manufacturer?",O32))))</f>
        <v>-</v>
      </c>
      <c r="S32" s="128" t="str">
        <f>IF(AND(O32=0,P32=0,Q32=0),"-",IF(AND(O32&gt;0,P32=0,Q32&gt;0),"Source?",IF(AND(O32&gt;0,P32=0,Q32=0),"Source?",IF(AND(O32=0,P32=0,Q32&gt;0),"Source?",P32))))</f>
        <v>-</v>
      </c>
      <c r="T32" s="131" t="str">
        <f>IF(AND(O32=0,P32=0,Q32=0),"-",IF(AND(O32&gt;0,P32&gt;0,Q32=0),"Classification?",IF(AND(O32&gt;0,P32=0,Q32=0),"Classification?",IF(AND(O32=0,P32&gt;0,Q32=0),"Classification?",Q32))))</f>
        <v>-</v>
      </c>
    </row>
    <row r="33" spans="2:20" x14ac:dyDescent="0.3">
      <c r="C33" s="130" t="s">
        <v>70</v>
      </c>
      <c r="D33" s="128">
        <f t="shared" si="3"/>
        <v>0</v>
      </c>
      <c r="E33" s="128">
        <f>(D18/100)*'3 Paste Quality'!$B$32</f>
        <v>0</v>
      </c>
      <c r="F33" s="161">
        <f>IF(OR(D33=0,D33="",E33=0,E33=""),0,E33/(62.4*D33))</f>
        <v>0</v>
      </c>
      <c r="G33" s="131" t="str">
        <f>IF(OR(P12="SG?",$E$10="CM ERROR"),"CM ERROR",IF($E$17&gt;$D$15,"ERROR: &gt;30%",IF(E33=0,0,F33)))</f>
        <v>CM ERROR</v>
      </c>
      <c r="N33" s="130" t="s">
        <v>70</v>
      </c>
      <c r="O33" s="128">
        <f>'3 Paste Quality'!B15</f>
        <v>0</v>
      </c>
      <c r="P33" s="128">
        <f>'3 Paste Quality'!C15</f>
        <v>0</v>
      </c>
      <c r="Q33" s="151">
        <f>'3 Paste Quality'!D15</f>
        <v>0</v>
      </c>
      <c r="R33" s="149" t="str">
        <f t="shared" ref="R33:R35" si="5">IF(AND(O33=0,P33=0,Q33=0),"-",IF(AND(O33=0,P33&gt;0,Q33&gt;0),"Manufacturer?",IF(AND(O33=0,P33=0,Q33&gt;0),"Manufacturer?",IF(AND(O33=0,P33&gt;0,Q33=0),"Manufacturer?",O33))))</f>
        <v>-</v>
      </c>
      <c r="S33" s="128" t="str">
        <f t="shared" ref="S33:S35" si="6">IF(AND(O33=0,P33=0,Q33=0),"-",IF(AND(O33&gt;0,P33=0,Q33&gt;0),"Source?",IF(AND(O33&gt;0,P33=0,Q33=0),"Source?",IF(AND(O33=0,P33=0,Q33&gt;0),"Source?",P33))))</f>
        <v>-</v>
      </c>
      <c r="T33" s="131" t="str">
        <f t="shared" ref="T33:T35" si="7">IF(AND(O33=0,P33=0,Q33=0),"-",IF(AND(O33&gt;0,P33&gt;0,Q33=0),"Classification?",IF(AND(O33&gt;0,P33=0,Q33=0),"Classification?",IF(AND(O33=0,P33&gt;0,Q33=0),"Classification?",Q33))))</f>
        <v>-</v>
      </c>
    </row>
    <row r="34" spans="2:20" x14ac:dyDescent="0.3">
      <c r="C34" s="130" t="s">
        <v>220</v>
      </c>
      <c r="D34" s="128">
        <f t="shared" si="3"/>
        <v>0</v>
      </c>
      <c r="E34" s="128">
        <f>(D19/100)*'3 Paste Quality'!$B$32</f>
        <v>0</v>
      </c>
      <c r="F34" s="161">
        <f>IF(OR(D34=0,D34="",E34=0,E34=""),0,E34/(62.4*D34))</f>
        <v>0</v>
      </c>
      <c r="G34" s="131" t="str">
        <f>IF(OR(P13="SG?",$E$10="CM ERROR"),"CM ERROR",IF($E$17&gt;$D$15,"ERROR: &gt;30%",IF(E34=0,0,F34)))</f>
        <v>CM ERROR</v>
      </c>
      <c r="N34" s="130" t="s">
        <v>220</v>
      </c>
      <c r="O34" s="128">
        <f>'3 Paste Quality'!B16</f>
        <v>0</v>
      </c>
      <c r="P34" s="128">
        <f>'3 Paste Quality'!C16</f>
        <v>0</v>
      </c>
      <c r="Q34" s="151">
        <f>'3 Paste Quality'!D16</f>
        <v>0</v>
      </c>
      <c r="R34" s="149" t="str">
        <f t="shared" si="5"/>
        <v>-</v>
      </c>
      <c r="S34" s="128" t="str">
        <f t="shared" si="6"/>
        <v>-</v>
      </c>
      <c r="T34" s="131" t="str">
        <f t="shared" si="7"/>
        <v>-</v>
      </c>
    </row>
    <row r="35" spans="2:20" ht="15" thickBot="1" x14ac:dyDescent="0.35">
      <c r="C35" s="162" t="s">
        <v>222</v>
      </c>
      <c r="D35" s="163">
        <f t="shared" si="3"/>
        <v>0</v>
      </c>
      <c r="E35" s="163">
        <f>(D20/100)*'3 Paste Quality'!$B$32</f>
        <v>0</v>
      </c>
      <c r="F35" s="165">
        <f>IF(OR(D35=0,D35="",E35=0,E35=""),0,E35/(62.4*D35))</f>
        <v>0</v>
      </c>
      <c r="G35" s="131" t="str">
        <f>IF(OR(P14="SG?",$E$10="CM ERROR"),"CM ERROR",IF($E$17&gt;$D$15,"ERROR: &gt;30%",IF(E35=0,0,F35)))</f>
        <v>CM ERROR</v>
      </c>
      <c r="N35" s="132" t="s">
        <v>222</v>
      </c>
      <c r="O35" s="133">
        <f>'3 Paste Quality'!B17</f>
        <v>0</v>
      </c>
      <c r="P35" s="133">
        <f>'3 Paste Quality'!C17</f>
        <v>0</v>
      </c>
      <c r="Q35" s="152">
        <f>'3 Paste Quality'!D17</f>
        <v>0</v>
      </c>
      <c r="R35" s="150" t="str">
        <f t="shared" si="5"/>
        <v>-</v>
      </c>
      <c r="S35" s="133" t="str">
        <f t="shared" si="6"/>
        <v>-</v>
      </c>
      <c r="T35" s="134" t="str">
        <f t="shared" si="7"/>
        <v>-</v>
      </c>
    </row>
    <row r="36" spans="2:20" ht="15" thickBot="1" x14ac:dyDescent="0.35">
      <c r="C36" s="898" t="s">
        <v>361</v>
      </c>
      <c r="D36" s="1169"/>
      <c r="E36" s="1169"/>
      <c r="F36" s="1169"/>
      <c r="G36" s="1170"/>
    </row>
    <row r="37" spans="2:20" ht="15" thickBot="1" x14ac:dyDescent="0.35">
      <c r="C37" s="156" t="s">
        <v>73</v>
      </c>
      <c r="D37" s="157">
        <v>1</v>
      </c>
      <c r="E37" s="157" t="str">
        <f>IF(E10="CM ERROR","CM ERROR",E10*D11)</f>
        <v>CM ERROR</v>
      </c>
      <c r="F37" s="157" t="e">
        <f>E37/(62.4)</f>
        <v>#VALUE!</v>
      </c>
      <c r="G37" s="158" t="str">
        <f>IF(E37="CM ERROR","CM ERROR",IF(OR(E11="w/cm ?",$D$11&gt;'3 Paste Quality'!$C$28),"W/CM ERROR",F37))</f>
        <v>CM ERROR</v>
      </c>
      <c r="N37" s="898" t="s">
        <v>351</v>
      </c>
      <c r="O37" s="1169"/>
      <c r="P37" s="1169"/>
      <c r="Q37" s="1169"/>
      <c r="R37" s="1169"/>
      <c r="S37" s="1170"/>
    </row>
    <row r="38" spans="2:20" ht="15" thickBot="1" x14ac:dyDescent="0.35">
      <c r="C38" s="132" t="s">
        <v>357</v>
      </c>
      <c r="D38" s="166">
        <f>'3 Paste Quality'!B34</f>
        <v>0</v>
      </c>
      <c r="E38" s="133" t="s">
        <v>359</v>
      </c>
      <c r="F38" s="133">
        <f>(D38/100)*27.2</f>
        <v>0</v>
      </c>
      <c r="G38" s="134" t="str">
        <f>IF(E12="AIR ?","AIR ?",IF($E$10="CM ERROR", "CM ERROR",F38))</f>
        <v>AIR ?</v>
      </c>
      <c r="N38" s="898" t="s">
        <v>341</v>
      </c>
      <c r="O38" s="1169"/>
      <c r="P38" s="1170"/>
      <c r="Q38" s="1165" t="s">
        <v>340</v>
      </c>
      <c r="R38" s="1166"/>
      <c r="S38" s="1167"/>
    </row>
    <row r="39" spans="2:20" ht="15" thickBot="1" x14ac:dyDescent="0.35">
      <c r="N39" s="135" t="s">
        <v>428</v>
      </c>
      <c r="O39" s="147" t="s">
        <v>178</v>
      </c>
      <c r="P39" s="136" t="s">
        <v>179</v>
      </c>
      <c r="Q39" s="135" t="s">
        <v>428</v>
      </c>
      <c r="R39" s="147" t="s">
        <v>178</v>
      </c>
      <c r="S39" s="136" t="s">
        <v>179</v>
      </c>
    </row>
    <row r="40" spans="2:20" ht="15" thickBot="1" x14ac:dyDescent="0.35">
      <c r="C40" s="1165" t="s">
        <v>342</v>
      </c>
      <c r="D40" s="1166"/>
      <c r="E40" s="1166"/>
      <c r="F40" s="1166"/>
      <c r="G40" s="1166"/>
      <c r="H40" s="1166"/>
      <c r="I40" s="1166"/>
      <c r="J40" s="1166"/>
      <c r="K40" s="1166"/>
      <c r="L40" s="1167"/>
      <c r="N40" s="132">
        <f>'3 Paste Quality'!C45</f>
        <v>0</v>
      </c>
      <c r="O40" s="133">
        <f>'3 Paste Quality'!D45</f>
        <v>0</v>
      </c>
      <c r="P40" s="134">
        <f>'3 Paste Quality'!F45</f>
        <v>0</v>
      </c>
      <c r="Q40" s="132" t="str">
        <f>IF(N40=0,"Source Type?",N40)</f>
        <v>Source Type?</v>
      </c>
      <c r="R40" s="133" t="str">
        <f>IF(Q40="Source Type?", "Source Type?",IF(O40=0,"Source Name?",O40))</f>
        <v>Source Type?</v>
      </c>
      <c r="S40" s="134" t="str">
        <f>IF(Q40="Municipal","Not Applicable",IF(AND(P40=0,N40&lt;&gt;"Municipal"),"Test Number?",P40))</f>
        <v>Test Number?</v>
      </c>
    </row>
    <row r="41" spans="2:20" ht="15" thickBot="1" x14ac:dyDescent="0.35">
      <c r="C41" s="1165" t="s">
        <v>341</v>
      </c>
      <c r="D41" s="1166"/>
      <c r="E41" s="1166"/>
      <c r="F41" s="1166"/>
      <c r="G41" s="1167"/>
      <c r="H41" s="1165" t="s">
        <v>340</v>
      </c>
      <c r="I41" s="1166"/>
      <c r="J41" s="1166"/>
      <c r="K41" s="1166"/>
      <c r="L41" s="1167"/>
    </row>
    <row r="42" spans="2:20" ht="15" thickBot="1" x14ac:dyDescent="0.35">
      <c r="C42" s="185" t="s">
        <v>167</v>
      </c>
      <c r="D42" s="186" t="s">
        <v>168</v>
      </c>
      <c r="E42" s="186" t="s">
        <v>185</v>
      </c>
      <c r="F42" s="186" t="s">
        <v>186</v>
      </c>
      <c r="G42" s="187" t="s">
        <v>187</v>
      </c>
      <c r="H42" s="524" t="s">
        <v>167</v>
      </c>
      <c r="I42" s="188" t="s">
        <v>168</v>
      </c>
      <c r="J42" s="188" t="s">
        <v>185</v>
      </c>
      <c r="K42" s="188" t="s">
        <v>186</v>
      </c>
      <c r="L42" s="525" t="s">
        <v>187</v>
      </c>
      <c r="M42" s="139" t="s">
        <v>338</v>
      </c>
      <c r="N42" s="1165" t="s">
        <v>352</v>
      </c>
      <c r="O42" s="1166"/>
      <c r="P42" s="1166"/>
      <c r="Q42" s="1166"/>
      <c r="R42" s="1166"/>
      <c r="S42" s="1166"/>
      <c r="T42" s="1167"/>
    </row>
    <row r="43" spans="2:20" ht="15" thickBot="1" x14ac:dyDescent="0.35">
      <c r="B43" s="137" t="s">
        <v>344</v>
      </c>
      <c r="C43" s="189">
        <f>'4 Mix Design'!D16</f>
        <v>0</v>
      </c>
      <c r="D43" s="190">
        <f>'4 Mix Design'!D17</f>
        <v>0</v>
      </c>
      <c r="E43" s="190">
        <f>'4 Mix Design'!D18</f>
        <v>0</v>
      </c>
      <c r="F43" s="190">
        <f>'4 Mix Design'!D19</f>
        <v>0</v>
      </c>
      <c r="G43" s="191">
        <f>'4 Mix Design'!D20</f>
        <v>0</v>
      </c>
      <c r="H43" s="192" t="str">
        <f>IF('4 Mix Design'!$H$28="CM ERROR","CM ERROR",IF(OR($H$6&lt;27.15,$H$6&gt;27.25),"VOL. ERROR",IF(C43=0,"-",ROUND(C43,0))))</f>
        <v>VOL. ERROR</v>
      </c>
      <c r="I43" s="193" t="str">
        <f>IF('4 Mix Design'!$H$28="CM ERROR","CM ERROR",IF(OR($H$6&lt;27.15,$H$6&gt;27.25),"VOL. ERROR",IF(D43=0,"-",ROUND(D43,0))))</f>
        <v>VOL. ERROR</v>
      </c>
      <c r="J43" s="193" t="str">
        <f>IF('4 Mix Design'!$H$28="CM ERROR","CM ERROR",IF(OR($H$6&lt;27.15,$H$6&gt;27.25),"VOL. ERROR",IF(E43=0,"-",ROUND(E43,0))))</f>
        <v>VOL. ERROR</v>
      </c>
      <c r="K43" s="193" t="str">
        <f>IF('4 Mix Design'!$H$28="CM ERROR","CM ERROR",IF(OR($H$6&lt;27.15,$H$6&gt;27.25),"VOL. ERROR",IF(F43=0,"-",ROUND(F43,0))))</f>
        <v>VOL. ERROR</v>
      </c>
      <c r="L43" s="194" t="str">
        <f>IF('4 Mix Design'!$H$28="CM ERROR","CM ERROR",IF(OR($H$6&lt;27.15,$H$6&gt;27.25),"VOL. ERROR",IF(G43=0,"-",ROUND(G43,0))))</f>
        <v>VOL. ERROR</v>
      </c>
      <c r="M43" s="195">
        <f>SUM(H43:L43)</f>
        <v>0</v>
      </c>
      <c r="N43" s="1165" t="s">
        <v>341</v>
      </c>
      <c r="O43" s="1166"/>
      <c r="P43" s="1166"/>
      <c r="Q43" s="1167"/>
      <c r="R43" s="1168" t="s">
        <v>340</v>
      </c>
      <c r="S43" s="1166"/>
      <c r="T43" s="1167"/>
    </row>
    <row r="44" spans="2:20" ht="15" thickBot="1" x14ac:dyDescent="0.35">
      <c r="B44" s="138" t="s">
        <v>343</v>
      </c>
      <c r="C44" s="130" t="str">
        <f>IFERROR('5 Agg Analysis'!AE35,"-")</f>
        <v>-</v>
      </c>
      <c r="D44" s="128" t="str">
        <f>IFERROR('5 Agg Analysis'!AE36,"-")</f>
        <v>-</v>
      </c>
      <c r="E44" s="128" t="str">
        <f>IFERROR('5 Agg Analysis'!AE37,"-")</f>
        <v>-</v>
      </c>
      <c r="F44" s="128" t="str">
        <f>IFERROR('5 Agg Analysis'!AE38,"-")</f>
        <v>-</v>
      </c>
      <c r="G44" s="167" t="str">
        <f>IFERROR('5 Agg Analysis'!AE39,"-")</f>
        <v>-</v>
      </c>
      <c r="H44" s="130" t="str">
        <f>IF(AND($C$43=0,$D$43=0,$E$43=0,$F$43=0,$G$43=0),"ENTER WTS.",IF(AND(C43&gt;0,C45="-"),"GRAD. ?",C44))</f>
        <v>ENTER WTS.</v>
      </c>
      <c r="I44" s="128" t="str">
        <f>IF(AND($C$43=0,$D$43=0,$E$43=0,$F$43=0,$G$43=0),"ENTER WTS.",IF(AND(D43&gt;0,D45="-"),"GRAD. ?",D44))</f>
        <v>ENTER WTS.</v>
      </c>
      <c r="J44" s="128" t="str">
        <f>IF(AND($C$43=0,$D$43=0,$E$43=0,$F$43=0,$G$43=0),"ENTER WTS.",IF(AND(E43&gt;0,E45="-"),"GRAD. ?",E44))</f>
        <v>ENTER WTS.</v>
      </c>
      <c r="K44" s="128" t="str">
        <f>IF(AND($C$43=0,$D$43=0,$E$43=0,$F$43=0,$G$43=0),"ENTER WTS.",IF(AND(F43&gt;0,F45="-"),"GRAD. ?",F44))</f>
        <v>ENTER WTS.</v>
      </c>
      <c r="L44" s="131" t="str">
        <f>IF(AND($C$43=0,$D$43=0,$E$43=0,$F$43=0,$G$43=0),"ENTER WTS.",IF(AND(G43&gt;0,G45="-"),"GRAD. ?",G44))</f>
        <v>ENTER WTS.</v>
      </c>
      <c r="M44" s="196">
        <f>SUM(H44:L44)</f>
        <v>0</v>
      </c>
      <c r="N44" s="135" t="s">
        <v>353</v>
      </c>
      <c r="O44" s="147" t="s">
        <v>75</v>
      </c>
      <c r="P44" s="147" t="s">
        <v>305</v>
      </c>
      <c r="Q44" s="136" t="s">
        <v>354</v>
      </c>
      <c r="R44" s="148" t="s">
        <v>62</v>
      </c>
      <c r="S44" s="147" t="s">
        <v>305</v>
      </c>
      <c r="T44" s="136" t="s">
        <v>331</v>
      </c>
    </row>
    <row r="45" spans="2:20" x14ac:dyDescent="0.3">
      <c r="B45" s="138" t="s">
        <v>34</v>
      </c>
      <c r="C45" s="130" t="str">
        <f>'5 Agg Analysis'!AB57</f>
        <v>-</v>
      </c>
      <c r="D45" s="128" t="str">
        <f>'5 Agg Analysis'!AC57</f>
        <v>-</v>
      </c>
      <c r="E45" s="128" t="str">
        <f>'5 Agg Analysis'!AD57</f>
        <v>-</v>
      </c>
      <c r="F45" s="128" t="str">
        <f>'5 Agg Analysis'!AE57</f>
        <v>-</v>
      </c>
      <c r="G45" s="167" t="str">
        <f>'5 Agg Analysis'!AF57</f>
        <v>-</v>
      </c>
      <c r="H45" s="142" t="str">
        <f>IF($H$44="ENTER WTS.","-",IF(C45="-","-",IF(AND(C45="-",C$44&gt;0),"AGG. ERROR",IF($G$26="AGG. ERROR","AGG. ERROR",C45*C$44/100))))</f>
        <v>-</v>
      </c>
      <c r="I45" s="129" t="str">
        <f>IF($I$44="ENTER WTS.","-",IF(D45="-","-",IF(AND(D45="-",D$44&gt;0),"AGG. ERROR",IF($G$27="AGG. ERROR","AGG. ERROR",D45*D$44/100))))</f>
        <v>-</v>
      </c>
      <c r="J45" s="129" t="str">
        <f>IF($J$44="ENTER WTS.","-",IF(E45="-","-",IF(AND(E45="-",E$44&gt;0),"AGG. ERROR",IF($G$28="AGG. ERROR","AGG. ERROR",E45*E$44/100))))</f>
        <v>-</v>
      </c>
      <c r="K45" s="129" t="str">
        <f>IF($K$44="ENTER WTS.","-",IF(F45="-","-",IF(AND(F45="-",F$44&gt;0),"AGG. ERROR",IF($G$29="AGG. ERROR","AGG. ERROR",F45*F$44/100))))</f>
        <v>-</v>
      </c>
      <c r="L45" s="541" t="str">
        <f>IF($L$44="ENTER WTS.","-",IF(G45="-","-",IF(AND(G45="-",G$44&gt;0),"AGG. ERROR",IF($G$30="AGG. ERROR","AGG. ERROR",G45*G$44/100))))</f>
        <v>-</v>
      </c>
      <c r="M45" s="169">
        <f t="shared" ref="M45:M57" si="8">IF(OR(H45="AGG. ERROR",I45="AGG. ERROR",J45="AGG. ERROR",K45="AGG. ERROR",L45="AGG. ERROR"),"AGG. ERROR",SUM(H45:L45))</f>
        <v>0</v>
      </c>
      <c r="N45" s="130">
        <v>1</v>
      </c>
      <c r="O45" s="128">
        <f>'3 Paste Quality'!B49</f>
        <v>0</v>
      </c>
      <c r="P45" s="128">
        <f>'3 Paste Quality'!D49</f>
        <v>0</v>
      </c>
      <c r="Q45" s="131">
        <f>'3 Paste Quality'!F49</f>
        <v>0</v>
      </c>
      <c r="R45" s="149" t="str">
        <f>IF(AND(O45=0,P45=0,Q45=0),"-",IF(AND(O45=0,P45&gt;0,Q45&gt;0),"Name?",IF(AND(O45=0,P45=0,Q45&gt;0),"Name?",IF(AND(O45=0,P45&gt;0,Q45=0),"Name?",O45))))</f>
        <v>-</v>
      </c>
      <c r="S45" s="128" t="str">
        <f>IF(AND(O45=0,P45=0,Q45=0),"-",IF(AND(O45&gt;0,P45=0,Q45&gt;0),"Type?",IF(AND(O45&gt;0,P45=0,Q45=0),"Type?",IF(AND(O45=0,P45=0,Q45&gt;0),"Type?",P45))))</f>
        <v>-</v>
      </c>
      <c r="T45" s="131" t="str">
        <f>IF(AND(O45=0,P45=0,Q45=0),"-",IF(AND(O45&gt;0,P45&gt;0,Q45=0),"Dosage?",IF(AND(O45&gt;0,P45=0,Q45=0),"Dosage?",IF(AND(O45=0,P45&gt;0,Q45=0),"Dosage?",Q45))))</f>
        <v>-</v>
      </c>
    </row>
    <row r="46" spans="2:20" x14ac:dyDescent="0.3">
      <c r="B46" s="138" t="s">
        <v>35</v>
      </c>
      <c r="C46" s="130" t="str">
        <f>'5 Agg Analysis'!AB58</f>
        <v>-</v>
      </c>
      <c r="D46" s="128" t="str">
        <f>'5 Agg Analysis'!AC58</f>
        <v>-</v>
      </c>
      <c r="E46" s="128" t="str">
        <f>'5 Agg Analysis'!AD58</f>
        <v>-</v>
      </c>
      <c r="F46" s="128" t="str">
        <f>'5 Agg Analysis'!AE58</f>
        <v>-</v>
      </c>
      <c r="G46" s="167" t="str">
        <f>'5 Agg Analysis'!AF58</f>
        <v>-</v>
      </c>
      <c r="H46" s="142" t="str">
        <f t="shared" ref="H46:H57" si="9">IF($H$44="ENTER WTS.","-",IF(C46="-","-",IF(AND(C46="-",C$44&gt;0),"AGG. ERROR",IF($G$26="AGG. ERROR","AGG. ERROR",C46*C$44/100))))</f>
        <v>-</v>
      </c>
      <c r="I46" s="129" t="str">
        <f t="shared" ref="I46:I57" si="10">IF($I$44="ENTER WTS.","-",IF(D46="-","-",IF(AND(D46="-",D$44&gt;0),"AGG. ERROR",IF($G$27="AGG. ERROR","AGG. ERROR",D46*D$44/100))))</f>
        <v>-</v>
      </c>
      <c r="J46" s="129" t="str">
        <f t="shared" ref="J46:J57" si="11">IF(E46="-","-",IF(AND(E46="-",E$44&gt;0),"AGG. ERROR",IF($G$28="AGG. ERROR","AGG. ERROR",E46*E$44/100)))</f>
        <v>-</v>
      </c>
      <c r="K46" s="129" t="str">
        <f t="shared" ref="K46:K57" si="12">IF($K$44="ENTER WTS.","-",IF(F46="-","-",IF(AND(F46="-",F$44&gt;0),"AGG. ERROR",IF($G$29="AGG. ERROR","AGG. ERROR",F46*F$44/100))))</f>
        <v>-</v>
      </c>
      <c r="L46" s="541" t="str">
        <f t="shared" ref="L46:L57" si="13">IF($L$44="ENTER WTS.","-",IF(G46="-","-",IF(AND(G46="-",G$44&gt;0),"AGG. ERROR",IF($G$30="AGG. ERROR","AGG. ERROR",G46*G$44/100))))</f>
        <v>-</v>
      </c>
      <c r="M46" s="170">
        <f t="shared" si="8"/>
        <v>0</v>
      </c>
      <c r="N46" s="130">
        <v>2</v>
      </c>
      <c r="O46" s="128">
        <f>'3 Paste Quality'!B50</f>
        <v>0</v>
      </c>
      <c r="P46" s="128">
        <f>'3 Paste Quality'!D50</f>
        <v>0</v>
      </c>
      <c r="Q46" s="131">
        <f>'3 Paste Quality'!F50</f>
        <v>0</v>
      </c>
      <c r="R46" s="149" t="str">
        <f t="shared" ref="R46:R48" si="14">IF(AND(O46=0,P46=0,Q46=0),"-",IF(AND(O46=0,P46&gt;0,Q46&gt;0),"Name?",IF(AND(O46=0,P46=0,Q46&gt;0),"Name?",IF(AND(O46=0,P46&gt;0,Q46=0),"Name?",O46))))</f>
        <v>-</v>
      </c>
      <c r="S46" s="128" t="str">
        <f t="shared" ref="S46:S48" si="15">IF(AND(O46=0,P46=0,Q46=0),"-",IF(AND(O46&gt;0,P46=0,Q46&gt;0),"Type?",IF(AND(O46&gt;0,P46=0,Q46=0),"Type?",IF(AND(O46=0,P46=0,Q46&gt;0),"Type?",P46))))</f>
        <v>-</v>
      </c>
      <c r="T46" s="131" t="str">
        <f t="shared" ref="T46:T48" si="16">IF(AND(O46=0,P46=0,Q46=0),"-",IF(AND(O46&gt;0,P46&gt;0,Q46=0),"Dosage?",IF(AND(O46&gt;0,P46=0,Q46=0),"Dosage?",IF(AND(O46=0,P46&gt;0,Q46=0),"Dosage?",Q46))))</f>
        <v>-</v>
      </c>
    </row>
    <row r="47" spans="2:20" x14ac:dyDescent="0.3">
      <c r="B47" s="138" t="s">
        <v>36</v>
      </c>
      <c r="C47" s="130" t="str">
        <f>'5 Agg Analysis'!AB59</f>
        <v>-</v>
      </c>
      <c r="D47" s="128" t="str">
        <f>'5 Agg Analysis'!AC59</f>
        <v>-</v>
      </c>
      <c r="E47" s="128" t="str">
        <f>'5 Agg Analysis'!AD59</f>
        <v>-</v>
      </c>
      <c r="F47" s="128" t="str">
        <f>'5 Agg Analysis'!AE59</f>
        <v>-</v>
      </c>
      <c r="G47" s="167" t="str">
        <f>'5 Agg Analysis'!AF59</f>
        <v>-</v>
      </c>
      <c r="H47" s="142" t="str">
        <f t="shared" si="9"/>
        <v>-</v>
      </c>
      <c r="I47" s="129" t="str">
        <f t="shared" si="10"/>
        <v>-</v>
      </c>
      <c r="J47" s="129" t="str">
        <f t="shared" si="11"/>
        <v>-</v>
      </c>
      <c r="K47" s="129" t="str">
        <f t="shared" si="12"/>
        <v>-</v>
      </c>
      <c r="L47" s="541" t="str">
        <f t="shared" si="13"/>
        <v>-</v>
      </c>
      <c r="M47" s="170">
        <f t="shared" si="8"/>
        <v>0</v>
      </c>
      <c r="N47" s="130">
        <v>3</v>
      </c>
      <c r="O47" s="128">
        <f>'3 Paste Quality'!B51</f>
        <v>0</v>
      </c>
      <c r="P47" s="128">
        <f>'3 Paste Quality'!D51</f>
        <v>0</v>
      </c>
      <c r="Q47" s="131">
        <f>'3 Paste Quality'!F51</f>
        <v>0</v>
      </c>
      <c r="R47" s="149" t="str">
        <f t="shared" si="14"/>
        <v>-</v>
      </c>
      <c r="S47" s="128" t="str">
        <f t="shared" si="15"/>
        <v>-</v>
      </c>
      <c r="T47" s="131" t="str">
        <f t="shared" si="16"/>
        <v>-</v>
      </c>
    </row>
    <row r="48" spans="2:20" ht="15" thickBot="1" x14ac:dyDescent="0.35">
      <c r="B48" s="138" t="s">
        <v>37</v>
      </c>
      <c r="C48" s="130" t="str">
        <f>'5 Agg Analysis'!AB60</f>
        <v>-</v>
      </c>
      <c r="D48" s="128" t="str">
        <f>'5 Agg Analysis'!AC60</f>
        <v>-</v>
      </c>
      <c r="E48" s="128" t="str">
        <f>'5 Agg Analysis'!AD60</f>
        <v>-</v>
      </c>
      <c r="F48" s="128" t="str">
        <f>'5 Agg Analysis'!AE60</f>
        <v>-</v>
      </c>
      <c r="G48" s="167" t="str">
        <f>'5 Agg Analysis'!AF60</f>
        <v>-</v>
      </c>
      <c r="H48" s="142" t="str">
        <f t="shared" si="9"/>
        <v>-</v>
      </c>
      <c r="I48" s="129" t="str">
        <f t="shared" si="10"/>
        <v>-</v>
      </c>
      <c r="J48" s="129" t="str">
        <f t="shared" si="11"/>
        <v>-</v>
      </c>
      <c r="K48" s="129" t="str">
        <f t="shared" si="12"/>
        <v>-</v>
      </c>
      <c r="L48" s="541" t="str">
        <f t="shared" si="13"/>
        <v>-</v>
      </c>
      <c r="M48" s="170">
        <f t="shared" si="8"/>
        <v>0</v>
      </c>
      <c r="N48" s="132">
        <v>4</v>
      </c>
      <c r="O48" s="133">
        <f>'3 Paste Quality'!B52</f>
        <v>0</v>
      </c>
      <c r="P48" s="133">
        <f>'3 Paste Quality'!D52</f>
        <v>0</v>
      </c>
      <c r="Q48" s="134">
        <f>'3 Paste Quality'!F52</f>
        <v>0</v>
      </c>
      <c r="R48" s="150" t="str">
        <f t="shared" si="14"/>
        <v>-</v>
      </c>
      <c r="S48" s="133" t="str">
        <f t="shared" si="15"/>
        <v>-</v>
      </c>
      <c r="T48" s="134" t="str">
        <f t="shared" si="16"/>
        <v>-</v>
      </c>
    </row>
    <row r="49" spans="2:13" x14ac:dyDescent="0.3">
      <c r="B49" s="138" t="s">
        <v>38</v>
      </c>
      <c r="C49" s="130" t="str">
        <f>'5 Agg Analysis'!AB61</f>
        <v>-</v>
      </c>
      <c r="D49" s="128" t="str">
        <f>'5 Agg Analysis'!AC61</f>
        <v>-</v>
      </c>
      <c r="E49" s="128" t="str">
        <f>'5 Agg Analysis'!AD61</f>
        <v>-</v>
      </c>
      <c r="F49" s="128" t="str">
        <f>'5 Agg Analysis'!AE61</f>
        <v>-</v>
      </c>
      <c r="G49" s="167" t="str">
        <f>'5 Agg Analysis'!AF61</f>
        <v>-</v>
      </c>
      <c r="H49" s="142" t="str">
        <f t="shared" si="9"/>
        <v>-</v>
      </c>
      <c r="I49" s="129" t="str">
        <f t="shared" si="10"/>
        <v>-</v>
      </c>
      <c r="J49" s="129" t="str">
        <f t="shared" si="11"/>
        <v>-</v>
      </c>
      <c r="K49" s="129" t="str">
        <f t="shared" si="12"/>
        <v>-</v>
      </c>
      <c r="L49" s="541" t="str">
        <f t="shared" si="13"/>
        <v>-</v>
      </c>
      <c r="M49" s="170">
        <f t="shared" si="8"/>
        <v>0</v>
      </c>
    </row>
    <row r="50" spans="2:13" x14ac:dyDescent="0.3">
      <c r="B50" s="138" t="s">
        <v>39</v>
      </c>
      <c r="C50" s="130" t="str">
        <f>'5 Agg Analysis'!AB62</f>
        <v>-</v>
      </c>
      <c r="D50" s="128" t="str">
        <f>'5 Agg Analysis'!AC62</f>
        <v>-</v>
      </c>
      <c r="E50" s="128" t="str">
        <f>'5 Agg Analysis'!AD62</f>
        <v>-</v>
      </c>
      <c r="F50" s="128" t="str">
        <f>'5 Agg Analysis'!AE62</f>
        <v>-</v>
      </c>
      <c r="G50" s="167" t="str">
        <f>'5 Agg Analysis'!AF62</f>
        <v>-</v>
      </c>
      <c r="H50" s="142" t="str">
        <f t="shared" si="9"/>
        <v>-</v>
      </c>
      <c r="I50" s="129" t="str">
        <f t="shared" si="10"/>
        <v>-</v>
      </c>
      <c r="J50" s="129" t="str">
        <f t="shared" si="11"/>
        <v>-</v>
      </c>
      <c r="K50" s="129" t="str">
        <f t="shared" si="12"/>
        <v>-</v>
      </c>
      <c r="L50" s="541" t="str">
        <f t="shared" si="13"/>
        <v>-</v>
      </c>
      <c r="M50" s="170">
        <f t="shared" si="8"/>
        <v>0</v>
      </c>
    </row>
    <row r="51" spans="2:13" x14ac:dyDescent="0.3">
      <c r="B51" s="138" t="s">
        <v>40</v>
      </c>
      <c r="C51" s="130" t="str">
        <f>'5 Agg Analysis'!AB63</f>
        <v>-</v>
      </c>
      <c r="D51" s="128" t="str">
        <f>'5 Agg Analysis'!AC63</f>
        <v>-</v>
      </c>
      <c r="E51" s="128" t="str">
        <f>'5 Agg Analysis'!AD63</f>
        <v>-</v>
      </c>
      <c r="F51" s="128" t="str">
        <f>'5 Agg Analysis'!AE63</f>
        <v>-</v>
      </c>
      <c r="G51" s="167" t="str">
        <f>'5 Agg Analysis'!AF63</f>
        <v>-</v>
      </c>
      <c r="H51" s="142" t="str">
        <f t="shared" si="9"/>
        <v>-</v>
      </c>
      <c r="I51" s="129" t="str">
        <f t="shared" si="10"/>
        <v>-</v>
      </c>
      <c r="J51" s="129" t="str">
        <f t="shared" si="11"/>
        <v>-</v>
      </c>
      <c r="K51" s="129" t="str">
        <f t="shared" si="12"/>
        <v>-</v>
      </c>
      <c r="L51" s="541" t="str">
        <f t="shared" si="13"/>
        <v>-</v>
      </c>
      <c r="M51" s="170">
        <f t="shared" si="8"/>
        <v>0</v>
      </c>
    </row>
    <row r="52" spans="2:13" x14ac:dyDescent="0.3">
      <c r="B52" s="138" t="s">
        <v>41</v>
      </c>
      <c r="C52" s="130" t="str">
        <f>'5 Agg Analysis'!AB64</f>
        <v>-</v>
      </c>
      <c r="D52" s="128" t="str">
        <f>'5 Agg Analysis'!AC64</f>
        <v>-</v>
      </c>
      <c r="E52" s="128" t="str">
        <f>'5 Agg Analysis'!AD64</f>
        <v>-</v>
      </c>
      <c r="F52" s="128" t="str">
        <f>'5 Agg Analysis'!AE64</f>
        <v>-</v>
      </c>
      <c r="G52" s="167" t="str">
        <f>'5 Agg Analysis'!AF64</f>
        <v>-</v>
      </c>
      <c r="H52" s="142" t="str">
        <f t="shared" si="9"/>
        <v>-</v>
      </c>
      <c r="I52" s="129" t="str">
        <f t="shared" si="10"/>
        <v>-</v>
      </c>
      <c r="J52" s="129" t="str">
        <f t="shared" si="11"/>
        <v>-</v>
      </c>
      <c r="K52" s="129" t="str">
        <f t="shared" si="12"/>
        <v>-</v>
      </c>
      <c r="L52" s="541" t="str">
        <f t="shared" si="13"/>
        <v>-</v>
      </c>
      <c r="M52" s="170">
        <f t="shared" si="8"/>
        <v>0</v>
      </c>
    </row>
    <row r="53" spans="2:13" x14ac:dyDescent="0.3">
      <c r="B53" s="138" t="s">
        <v>42</v>
      </c>
      <c r="C53" s="130" t="str">
        <f>'5 Agg Analysis'!AB65</f>
        <v>-</v>
      </c>
      <c r="D53" s="128" t="str">
        <f>'5 Agg Analysis'!AC65</f>
        <v>-</v>
      </c>
      <c r="E53" s="128" t="str">
        <f>'5 Agg Analysis'!AD65</f>
        <v>-</v>
      </c>
      <c r="F53" s="128" t="str">
        <f>'5 Agg Analysis'!AE65</f>
        <v>-</v>
      </c>
      <c r="G53" s="167" t="str">
        <f>'5 Agg Analysis'!AF65</f>
        <v>-</v>
      </c>
      <c r="H53" s="142" t="str">
        <f t="shared" si="9"/>
        <v>-</v>
      </c>
      <c r="I53" s="129" t="str">
        <f t="shared" si="10"/>
        <v>-</v>
      </c>
      <c r="J53" s="129" t="str">
        <f t="shared" si="11"/>
        <v>-</v>
      </c>
      <c r="K53" s="129" t="str">
        <f t="shared" si="12"/>
        <v>-</v>
      </c>
      <c r="L53" s="541" t="str">
        <f t="shared" si="13"/>
        <v>-</v>
      </c>
      <c r="M53" s="170">
        <f t="shared" si="8"/>
        <v>0</v>
      </c>
    </row>
    <row r="54" spans="2:13" x14ac:dyDescent="0.3">
      <c r="B54" s="138" t="s">
        <v>43</v>
      </c>
      <c r="C54" s="130" t="str">
        <f>'5 Agg Analysis'!AB66</f>
        <v>-</v>
      </c>
      <c r="D54" s="128" t="str">
        <f>'5 Agg Analysis'!AC66</f>
        <v>-</v>
      </c>
      <c r="E54" s="128" t="str">
        <f>'5 Agg Analysis'!AD66</f>
        <v>-</v>
      </c>
      <c r="F54" s="128" t="str">
        <f>'5 Agg Analysis'!AE66</f>
        <v>-</v>
      </c>
      <c r="G54" s="167" t="str">
        <f>'5 Agg Analysis'!AF66</f>
        <v>-</v>
      </c>
      <c r="H54" s="142" t="str">
        <f t="shared" si="9"/>
        <v>-</v>
      </c>
      <c r="I54" s="129" t="str">
        <f t="shared" si="10"/>
        <v>-</v>
      </c>
      <c r="J54" s="129" t="str">
        <f t="shared" si="11"/>
        <v>-</v>
      </c>
      <c r="K54" s="129" t="str">
        <f t="shared" si="12"/>
        <v>-</v>
      </c>
      <c r="L54" s="541" t="str">
        <f t="shared" si="13"/>
        <v>-</v>
      </c>
      <c r="M54" s="170">
        <f t="shared" si="8"/>
        <v>0</v>
      </c>
    </row>
    <row r="55" spans="2:13" x14ac:dyDescent="0.3">
      <c r="B55" s="138" t="s">
        <v>44</v>
      </c>
      <c r="C55" s="130" t="str">
        <f>'5 Agg Analysis'!AB67</f>
        <v>-</v>
      </c>
      <c r="D55" s="128" t="str">
        <f>'5 Agg Analysis'!AC67</f>
        <v>-</v>
      </c>
      <c r="E55" s="128" t="str">
        <f>'5 Agg Analysis'!AD67</f>
        <v>-</v>
      </c>
      <c r="F55" s="128" t="str">
        <f>'5 Agg Analysis'!AE67</f>
        <v>-</v>
      </c>
      <c r="G55" s="167" t="str">
        <f>'5 Agg Analysis'!AF67</f>
        <v>-</v>
      </c>
      <c r="H55" s="142" t="str">
        <f t="shared" si="9"/>
        <v>-</v>
      </c>
      <c r="I55" s="129" t="str">
        <f t="shared" si="10"/>
        <v>-</v>
      </c>
      <c r="J55" s="129" t="str">
        <f t="shared" si="11"/>
        <v>-</v>
      </c>
      <c r="K55" s="129" t="str">
        <f t="shared" si="12"/>
        <v>-</v>
      </c>
      <c r="L55" s="541" t="str">
        <f t="shared" si="13"/>
        <v>-</v>
      </c>
      <c r="M55" s="170">
        <f t="shared" si="8"/>
        <v>0</v>
      </c>
    </row>
    <row r="56" spans="2:13" x14ac:dyDescent="0.3">
      <c r="B56" s="138" t="s">
        <v>45</v>
      </c>
      <c r="C56" s="130" t="str">
        <f>'5 Agg Analysis'!AB68</f>
        <v>-</v>
      </c>
      <c r="D56" s="128" t="str">
        <f>'5 Agg Analysis'!AC68</f>
        <v>-</v>
      </c>
      <c r="E56" s="128" t="str">
        <f>'5 Agg Analysis'!AD68</f>
        <v>-</v>
      </c>
      <c r="F56" s="128" t="str">
        <f>'5 Agg Analysis'!AE68</f>
        <v>-</v>
      </c>
      <c r="G56" s="167" t="str">
        <f>'5 Agg Analysis'!AF68</f>
        <v>-</v>
      </c>
      <c r="H56" s="142" t="str">
        <f t="shared" si="9"/>
        <v>-</v>
      </c>
      <c r="I56" s="129" t="str">
        <f t="shared" si="10"/>
        <v>-</v>
      </c>
      <c r="J56" s="129" t="str">
        <f t="shared" si="11"/>
        <v>-</v>
      </c>
      <c r="K56" s="129" t="str">
        <f t="shared" si="12"/>
        <v>-</v>
      </c>
      <c r="L56" s="541" t="str">
        <f t="shared" si="13"/>
        <v>-</v>
      </c>
      <c r="M56" s="170">
        <f t="shared" si="8"/>
        <v>0</v>
      </c>
    </row>
    <row r="57" spans="2:13" ht="15" thickBot="1" x14ac:dyDescent="0.35">
      <c r="B57" s="155" t="s">
        <v>46</v>
      </c>
      <c r="C57" s="132" t="str">
        <f>'5 Agg Analysis'!AB69</f>
        <v>-</v>
      </c>
      <c r="D57" s="133" t="str">
        <f>'5 Agg Analysis'!AC69</f>
        <v>-</v>
      </c>
      <c r="E57" s="133" t="str">
        <f>'5 Agg Analysis'!AD69</f>
        <v>-</v>
      </c>
      <c r="F57" s="133" t="str">
        <f>'5 Agg Analysis'!AE69</f>
        <v>-</v>
      </c>
      <c r="G57" s="197" t="str">
        <f>'5 Agg Analysis'!AF69</f>
        <v>-</v>
      </c>
      <c r="H57" s="168" t="str">
        <f t="shared" si="9"/>
        <v>-</v>
      </c>
      <c r="I57" s="166" t="str">
        <f t="shared" si="10"/>
        <v>-</v>
      </c>
      <c r="J57" s="166" t="str">
        <f t="shared" si="11"/>
        <v>-</v>
      </c>
      <c r="K57" s="166" t="str">
        <f t="shared" si="12"/>
        <v>-</v>
      </c>
      <c r="L57" s="542" t="str">
        <f t="shared" si="13"/>
        <v>-</v>
      </c>
      <c r="M57" s="171">
        <f t="shared" si="8"/>
        <v>0</v>
      </c>
    </row>
  </sheetData>
  <mergeCells count="27">
    <mergeCell ref="A1:D1"/>
    <mergeCell ref="E1:G1"/>
    <mergeCell ref="N3:P3"/>
    <mergeCell ref="R43:T43"/>
    <mergeCell ref="G7:H7"/>
    <mergeCell ref="C8:D8"/>
    <mergeCell ref="C14:D14"/>
    <mergeCell ref="C24:G24"/>
    <mergeCell ref="C36:G36"/>
    <mergeCell ref="N42:T42"/>
    <mergeCell ref="N43:Q43"/>
    <mergeCell ref="C4:D4"/>
    <mergeCell ref="C5:D5"/>
    <mergeCell ref="G4:H4"/>
    <mergeCell ref="G8:H8"/>
    <mergeCell ref="C41:G41"/>
    <mergeCell ref="H41:L41"/>
    <mergeCell ref="C40:L40"/>
    <mergeCell ref="N38:P38"/>
    <mergeCell ref="N37:S37"/>
    <mergeCell ref="Q38:S38"/>
    <mergeCell ref="N19:T19"/>
    <mergeCell ref="N20:Q20"/>
    <mergeCell ref="R20:T20"/>
    <mergeCell ref="N28:T28"/>
    <mergeCell ref="N29:Q29"/>
    <mergeCell ref="R29:T29"/>
  </mergeCells>
  <conditionalFormatting sqref="E23">
    <cfRule type="cellIs" dxfId="13" priority="1" operator="equal">
      <formula>"CM ERROR"</formula>
    </cfRule>
    <cfRule type="cellIs" dxfId="12" priority="2" operator="equal">
      <formula>"VOL. ERROR"</formula>
    </cfRule>
  </conditionalFormatting>
  <conditionalFormatting sqref="E11:F11">
    <cfRule type="cellIs" dxfId="11" priority="9" operator="equal">
      <formula>"w/cm ?"</formula>
    </cfRule>
    <cfRule type="cellIs" dxfId="10" priority="10" operator="equal">
      <formula>"FAIL"</formula>
    </cfRule>
  </conditionalFormatting>
  <conditionalFormatting sqref="E11:F12">
    <cfRule type="cellIs" dxfId="9" priority="7" operator="equal">
      <formula>"PASS"</formula>
    </cfRule>
  </conditionalFormatting>
  <conditionalFormatting sqref="E12:F12">
    <cfRule type="cellIs" dxfId="8" priority="8" operator="equal">
      <formula>"AIR ?"</formula>
    </cfRule>
  </conditionalFormatting>
  <conditionalFormatting sqref="H43:L43">
    <cfRule type="cellIs" dxfId="7" priority="3" operator="equal">
      <formula>"CM ERROR"</formula>
    </cfRule>
    <cfRule type="cellIs" dxfId="6" priority="4" operator="equal">
      <formula>"VOL. ERROR"</formula>
    </cfRule>
  </conditionalFormatting>
  <conditionalFormatting sqref="I10:I22">
    <cfRule type="cellIs" dxfId="5" priority="17" operator="equal">
      <formula>"GRAD. ERROR"</formula>
    </cfRule>
  </conditionalFormatting>
  <conditionalFormatting sqref="I10:J22">
    <cfRule type="cellIs" dxfId="4" priority="13" operator="equal">
      <formula>"ERROR"</formula>
    </cfRule>
  </conditionalFormatting>
  <conditionalFormatting sqref="J10:J22">
    <cfRule type="cellIs" dxfId="3" priority="12" operator="equal">
      <formula>"VOL. ERROR"</formula>
    </cfRule>
    <cfRule type="cellIs" dxfId="2" priority="14" operator="equal">
      <formula>"CM ERROR"</formula>
    </cfRule>
    <cfRule type="cellIs" dxfId="1" priority="15" operator="equal">
      <formula>"Fail"</formula>
    </cfRule>
    <cfRule type="cellIs" dxfId="0" priority="16" operator="equal">
      <formula>"Pass"</formula>
    </cfRule>
  </conditionalFormatting>
  <pageMargins left="0.7" right="0.7" top="0.75" bottom="0.75" header="0.3" footer="0.3"/>
  <pageSetup scale="39" orientation="landscape" horizontalDpi="200" verticalDpi="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6E029-F5FC-41A2-95DD-07DA8C5498E2}">
  <dimension ref="A1:N57"/>
  <sheetViews>
    <sheetView showGridLines="0" view="pageBreakPreview" zoomScale="90" zoomScaleNormal="85" zoomScaleSheetLayoutView="90" workbookViewId="0">
      <selection activeCell="D10" sqref="D10:G10"/>
    </sheetView>
  </sheetViews>
  <sheetFormatPr defaultColWidth="6.5546875" defaultRowHeight="15.6" x14ac:dyDescent="0.3"/>
  <cols>
    <col min="1" max="1" width="9.6640625" style="10" customWidth="1"/>
    <col min="2" max="2" width="11" style="10" customWidth="1"/>
    <col min="3" max="3" width="16.6640625" style="10" customWidth="1"/>
    <col min="4" max="4" width="8.33203125" style="10" customWidth="1"/>
    <col min="5" max="5" width="5.5546875" style="10" customWidth="1"/>
    <col min="6" max="6" width="8.33203125" style="10" customWidth="1"/>
    <col min="7" max="7" width="4.44140625" style="10" customWidth="1"/>
    <col min="8" max="8" width="8.33203125" style="10" customWidth="1"/>
    <col min="9" max="9" width="7.44140625" style="10" customWidth="1"/>
    <col min="10" max="11" width="3.33203125" style="10" customWidth="1"/>
    <col min="12" max="12" width="10.44140625" style="10" customWidth="1"/>
    <col min="13" max="13" width="3.33203125" style="10" customWidth="1"/>
    <col min="14" max="14" width="7.44140625" style="10" customWidth="1"/>
    <col min="15" max="16384" width="6.5546875" style="10"/>
  </cols>
  <sheetData>
    <row r="1" spans="1:14" x14ac:dyDescent="0.3">
      <c r="A1" s="1174" t="s">
        <v>180</v>
      </c>
      <c r="B1" s="1175"/>
      <c r="C1" s="1175"/>
      <c r="D1" s="1175"/>
      <c r="E1" s="1175"/>
      <c r="F1" s="1175"/>
      <c r="G1" s="1175"/>
      <c r="H1" s="1176"/>
      <c r="I1" s="9" t="s">
        <v>14</v>
      </c>
      <c r="J1" s="1177">
        <f>IF(ISBLANK('2 Aggregate System'!I3),"",'2 Aggregate System'!I3)</f>
        <v>0</v>
      </c>
      <c r="K1" s="1177" t="s">
        <v>181</v>
      </c>
      <c r="L1" s="1177" t="s">
        <v>181</v>
      </c>
      <c r="M1" s="1177" t="s">
        <v>181</v>
      </c>
      <c r="N1" s="1178" t="s">
        <v>181</v>
      </c>
    </row>
    <row r="2" spans="1:14" s="1" customFormat="1" x14ac:dyDescent="0.3">
      <c r="A2" s="1179" t="s">
        <v>15</v>
      </c>
      <c r="B2" s="1180"/>
      <c r="C2" s="1180"/>
      <c r="D2" s="1180"/>
      <c r="E2" s="1180"/>
      <c r="F2" s="1180"/>
      <c r="G2" s="1180"/>
      <c r="H2" s="1180"/>
      <c r="I2" s="1180"/>
      <c r="J2" s="1180"/>
      <c r="K2" s="1180"/>
      <c r="L2" s="1180"/>
      <c r="M2" s="1180"/>
      <c r="N2" s="1181"/>
    </row>
    <row r="3" spans="1:14" s="1" customFormat="1" x14ac:dyDescent="0.3">
      <c r="A3" s="1182" t="s">
        <v>16</v>
      </c>
      <c r="B3" s="1183"/>
      <c r="C3" s="1183"/>
      <c r="D3" s="1183"/>
      <c r="E3" s="1184" t="s">
        <v>17</v>
      </c>
      <c r="F3" s="1183"/>
      <c r="G3" s="1185"/>
      <c r="H3" s="1184" t="s">
        <v>18</v>
      </c>
      <c r="I3" s="1183"/>
      <c r="J3" s="1183"/>
      <c r="K3" s="1185"/>
      <c r="L3" s="1184" t="s">
        <v>19</v>
      </c>
      <c r="M3" s="1183"/>
      <c r="N3" s="1186"/>
    </row>
    <row r="4" spans="1:14" s="1" customFormat="1" x14ac:dyDescent="0.3">
      <c r="A4" s="1187">
        <f>IF(ISBLANK('2 Aggregate System'!A5),"",'2 Aggregate System'!A5)</f>
        <v>0</v>
      </c>
      <c r="B4" s="1188"/>
      <c r="C4" s="1188"/>
      <c r="D4" s="1188"/>
      <c r="E4" s="1189">
        <f>IF(ISBLANK('2 Aggregate System'!C5),"",'2 Aggregate System'!C5)</f>
        <v>0</v>
      </c>
      <c r="F4" s="1188"/>
      <c r="G4" s="1190"/>
      <c r="H4" s="1189">
        <f>IF(ISBLANK('2 Aggregate System'!E5),"",'2 Aggregate System'!E5)</f>
        <v>0</v>
      </c>
      <c r="I4" s="1188"/>
      <c r="J4" s="1188"/>
      <c r="K4" s="1190"/>
      <c r="L4" s="1189">
        <f>IF(ISBLANK('2 Aggregate System'!H5),"",'2 Aggregate System'!H5)</f>
        <v>0</v>
      </c>
      <c r="M4" s="1188"/>
      <c r="N4" s="1191"/>
    </row>
    <row r="5" spans="1:14" s="1" customFormat="1" x14ac:dyDescent="0.3">
      <c r="A5" s="1192" t="s">
        <v>20</v>
      </c>
      <c r="B5" s="1193"/>
      <c r="C5" s="1193"/>
      <c r="D5" s="1193"/>
      <c r="E5" s="1194" t="s">
        <v>21</v>
      </c>
      <c r="F5" s="1195"/>
      <c r="G5" s="1195"/>
      <c r="H5" s="1195"/>
      <c r="I5" s="1195"/>
      <c r="J5" s="1195"/>
      <c r="K5" s="1195"/>
      <c r="L5" s="1195"/>
      <c r="M5" s="1195"/>
      <c r="N5" s="1196"/>
    </row>
    <row r="6" spans="1:14" s="1" customFormat="1" x14ac:dyDescent="0.3">
      <c r="A6" s="1187">
        <f>IF(ISBLANK('2 Aggregate System'!A7),"",'2 Aggregate System'!A7)</f>
        <v>0</v>
      </c>
      <c r="B6" s="1188"/>
      <c r="C6" s="1188"/>
      <c r="D6" s="1190"/>
      <c r="E6" s="1189">
        <f>IF(ISBLANK('2 Aggregate System'!E7),"",'2 Aggregate System'!E7)</f>
        <v>0</v>
      </c>
      <c r="F6" s="1188"/>
      <c r="G6" s="1188"/>
      <c r="H6" s="1188"/>
      <c r="I6" s="1188"/>
      <c r="J6" s="1188"/>
      <c r="K6" s="1188"/>
      <c r="L6" s="1188"/>
      <c r="M6" s="1188"/>
      <c r="N6" s="1191"/>
    </row>
    <row r="7" spans="1:14" s="1" customFormat="1" x14ac:dyDescent="0.3">
      <c r="A7" s="1179" t="s">
        <v>22</v>
      </c>
      <c r="B7" s="1180"/>
      <c r="C7" s="1180"/>
      <c r="D7" s="1180"/>
      <c r="E7" s="1184" t="s">
        <v>23</v>
      </c>
      <c r="F7" s="1183"/>
      <c r="G7" s="1183"/>
      <c r="H7" s="1183"/>
      <c r="I7" s="1183"/>
      <c r="J7" s="1183"/>
      <c r="K7" s="1183"/>
      <c r="L7" s="1183"/>
      <c r="M7" s="1183"/>
      <c r="N7" s="1186"/>
    </row>
    <row r="8" spans="1:14" s="1" customFormat="1" ht="16.2" thickBot="1" x14ac:dyDescent="0.35">
      <c r="A8" s="1197">
        <f>IF(ISBLANK('2 Aggregate System'!A9),"",'2 Aggregate System'!A9)</f>
        <v>0</v>
      </c>
      <c r="B8" s="1198"/>
      <c r="C8" s="1198"/>
      <c r="D8" s="1198"/>
      <c r="E8" s="1199">
        <f>IF(ISBLANK('2 Aggregate System'!E9),"",'2 Aggregate System'!E9)</f>
        <v>0</v>
      </c>
      <c r="F8" s="1200"/>
      <c r="G8" s="1200"/>
      <c r="H8" s="1200"/>
      <c r="I8" s="1200"/>
      <c r="J8" s="1200"/>
      <c r="K8" s="1200"/>
      <c r="L8" s="1200"/>
      <c r="M8" s="1200"/>
      <c r="N8" s="1201"/>
    </row>
    <row r="9" spans="1:14" s="1" customFormat="1" ht="16.2" thickBot="1" x14ac:dyDescent="0.35">
      <c r="A9" s="11"/>
      <c r="B9" s="11"/>
      <c r="C9" s="11"/>
      <c r="D9" s="11"/>
      <c r="E9" s="11"/>
      <c r="F9" s="11"/>
      <c r="G9" s="11"/>
      <c r="H9" s="11"/>
      <c r="I9" s="11"/>
      <c r="J9" s="11"/>
      <c r="K9" s="11"/>
      <c r="L9" s="11"/>
      <c r="M9" s="11"/>
    </row>
    <row r="10" spans="1:14" x14ac:dyDescent="0.3">
      <c r="A10" s="1203" t="s">
        <v>106</v>
      </c>
      <c r="B10" s="1204"/>
      <c r="C10" s="1204"/>
      <c r="D10" s="1205"/>
      <c r="E10" s="1206"/>
      <c r="F10" s="1206"/>
      <c r="G10" s="1207"/>
      <c r="L10" s="1208" t="str">
        <f>'2 Aggregate System'!J11</f>
        <v>Version 2.0</v>
      </c>
      <c r="M10" s="1208"/>
      <c r="N10" s="1208"/>
    </row>
    <row r="11" spans="1:14" ht="15.6" customHeight="1" x14ac:dyDescent="0.3">
      <c r="A11" s="1209" t="s">
        <v>107</v>
      </c>
      <c r="B11" s="1210"/>
      <c r="C11" s="1210"/>
      <c r="D11" s="1211"/>
      <c r="E11" s="1211"/>
      <c r="F11" s="1211"/>
      <c r="G11" s="1212"/>
      <c r="L11" s="1213">
        <f>'2 Aggregate System'!L8</f>
        <v>0</v>
      </c>
      <c r="M11" s="1213"/>
      <c r="N11" s="1213"/>
    </row>
    <row r="12" spans="1:14" x14ac:dyDescent="0.3">
      <c r="A12" s="1209" t="s">
        <v>108</v>
      </c>
      <c r="B12" s="1210"/>
      <c r="C12" s="1210"/>
      <c r="D12" s="1214" t="s">
        <v>109</v>
      </c>
      <c r="E12" s="1214"/>
      <c r="F12" s="1214"/>
      <c r="G12" s="1215"/>
      <c r="H12" s="12"/>
      <c r="L12" s="1216" t="e">
        <f>'2 Aggregate System'!#REF!</f>
        <v>#REF!</v>
      </c>
      <c r="M12" s="1216"/>
      <c r="N12" s="1216"/>
    </row>
    <row r="13" spans="1:14" ht="16.2" thickBot="1" x14ac:dyDescent="0.35">
      <c r="A13" s="1217" t="s">
        <v>110</v>
      </c>
      <c r="B13" s="1218"/>
      <c r="C13" s="1218"/>
      <c r="D13" s="1219" t="s">
        <v>111</v>
      </c>
      <c r="E13" s="1219"/>
      <c r="F13" s="1219"/>
      <c r="G13" s="1220"/>
      <c r="H13" s="12"/>
      <c r="J13" s="13"/>
      <c r="K13" s="13"/>
      <c r="L13" s="14"/>
      <c r="M13" s="14"/>
    </row>
    <row r="14" spans="1:14" ht="42" customHeight="1" thickBot="1" x14ac:dyDescent="0.35">
      <c r="G14" s="1202" t="s">
        <v>164</v>
      </c>
      <c r="H14" s="1202"/>
      <c r="I14" s="1202"/>
      <c r="J14" s="1202"/>
      <c r="K14" s="1202"/>
      <c r="L14" s="1202"/>
      <c r="M14" s="14"/>
    </row>
    <row r="15" spans="1:14" ht="16.2" thickBot="1" x14ac:dyDescent="0.35">
      <c r="G15" s="1221">
        <v>1</v>
      </c>
      <c r="H15" s="1222"/>
      <c r="I15" s="1222">
        <v>2</v>
      </c>
      <c r="J15" s="1222"/>
      <c r="K15" s="1222">
        <v>3</v>
      </c>
      <c r="L15" s="1223"/>
      <c r="M15" s="15"/>
      <c r="N15" s="16"/>
    </row>
    <row r="16" spans="1:14" x14ac:dyDescent="0.3">
      <c r="A16" s="17" t="s">
        <v>112</v>
      </c>
      <c r="B16" s="18"/>
      <c r="C16" s="18"/>
      <c r="D16" s="18"/>
      <c r="E16" s="18"/>
      <c r="F16" s="19"/>
      <c r="G16" s="1224"/>
      <c r="H16" s="1225"/>
      <c r="I16" s="1224"/>
      <c r="J16" s="1225"/>
      <c r="K16" s="1224"/>
      <c r="L16" s="1226"/>
      <c r="M16" s="20"/>
      <c r="N16" s="16"/>
    </row>
    <row r="17" spans="1:14" x14ac:dyDescent="0.3">
      <c r="A17" s="21" t="s">
        <v>163</v>
      </c>
      <c r="B17" s="22"/>
      <c r="C17" s="22"/>
      <c r="D17" s="22"/>
      <c r="E17" s="22"/>
      <c r="F17" s="23"/>
      <c r="G17" s="1227"/>
      <c r="H17" s="1228"/>
      <c r="I17" s="1229" t="str">
        <f>IF($G$17="","",$G$17)</f>
        <v/>
      </c>
      <c r="J17" s="1230"/>
      <c r="K17" s="1229" t="str">
        <f>IF($G$17="","",$G$17)</f>
        <v/>
      </c>
      <c r="L17" s="1230"/>
      <c r="M17" s="20"/>
      <c r="N17" s="16"/>
    </row>
    <row r="18" spans="1:14" ht="16.2" thickBot="1" x14ac:dyDescent="0.35">
      <c r="A18" s="21" t="s">
        <v>113</v>
      </c>
      <c r="B18" s="22"/>
      <c r="C18" s="22"/>
      <c r="D18" s="22"/>
      <c r="E18" s="22"/>
      <c r="F18" s="23"/>
      <c r="G18" s="1229" t="str">
        <f>IF(G17=0,"",G16-G17)</f>
        <v/>
      </c>
      <c r="H18" s="1231"/>
      <c r="I18" s="1229" t="str">
        <f>IFERROR(I16-I17,"")</f>
        <v/>
      </c>
      <c r="J18" s="1231"/>
      <c r="K18" s="1229" t="str">
        <f>IFERROR(K16-K17,"")</f>
        <v/>
      </c>
      <c r="L18" s="1231"/>
      <c r="M18" s="24"/>
      <c r="N18" s="25"/>
    </row>
    <row r="19" spans="1:14" x14ac:dyDescent="0.3">
      <c r="A19" s="21" t="s">
        <v>114</v>
      </c>
      <c r="B19" s="22"/>
      <c r="C19" s="22"/>
      <c r="D19" s="22"/>
      <c r="E19" s="22"/>
      <c r="F19" s="23"/>
      <c r="G19" s="1232"/>
      <c r="H19" s="1233"/>
      <c r="I19" s="1234" t="str">
        <f>IF($G$19=0,"",$G$19)</f>
        <v/>
      </c>
      <c r="J19" s="1231"/>
      <c r="K19" s="1234" t="str">
        <f>IF($G$19=0,"",$G$19)</f>
        <v/>
      </c>
      <c r="L19" s="1231"/>
      <c r="M19" s="1235" t="s">
        <v>115</v>
      </c>
      <c r="N19" s="1236"/>
    </row>
    <row r="20" spans="1:14" x14ac:dyDescent="0.3">
      <c r="A20" s="21" t="s">
        <v>116</v>
      </c>
      <c r="B20" s="22"/>
      <c r="C20" s="22"/>
      <c r="D20" s="26"/>
      <c r="E20" s="26"/>
      <c r="F20" s="27"/>
      <c r="G20" s="1237" t="str">
        <f>IFERROR(G18/G19,"")</f>
        <v/>
      </c>
      <c r="H20" s="1238"/>
      <c r="I20" s="1237" t="str">
        <f>IFERROR(I18/I19,"")</f>
        <v/>
      </c>
      <c r="J20" s="1238"/>
      <c r="K20" s="1237" t="str">
        <f>IFERROR(K18/K19,"")</f>
        <v/>
      </c>
      <c r="L20" s="1238"/>
      <c r="M20" s="1237" t="str">
        <f>IFERROR(AVERAGE(G20:L20),"")</f>
        <v/>
      </c>
      <c r="N20" s="1239"/>
    </row>
    <row r="21" spans="1:14" x14ac:dyDescent="0.3">
      <c r="A21" s="21" t="s">
        <v>117</v>
      </c>
      <c r="B21" s="22"/>
      <c r="C21" s="22"/>
      <c r="D21" s="22"/>
      <c r="E21" s="22"/>
      <c r="F21" s="28"/>
      <c r="G21" s="1242" t="str">
        <f>IFERROR(J35,"")</f>
        <v/>
      </c>
      <c r="H21" s="1243"/>
      <c r="I21" s="1242" t="str">
        <f>IFERROR(J35,"")</f>
        <v/>
      </c>
      <c r="J21" s="1243"/>
      <c r="K21" s="1242" t="str">
        <f>IFERROR(J35,"")</f>
        <v/>
      </c>
      <c r="L21" s="1243"/>
      <c r="M21" s="1242" t="str">
        <f>J35</f>
        <v/>
      </c>
      <c r="N21" s="1244"/>
    </row>
    <row r="22" spans="1:14" ht="16.2" thickBot="1" x14ac:dyDescent="0.35">
      <c r="A22" s="29" t="s">
        <v>118</v>
      </c>
      <c r="B22" s="30"/>
      <c r="C22" s="30"/>
      <c r="D22" s="30"/>
      <c r="E22" s="30"/>
      <c r="F22" s="31"/>
      <c r="G22" s="1245" t="str">
        <f>IFERROR(100*((G21*62.3)-G20)/(G21*62.3),"")</f>
        <v/>
      </c>
      <c r="H22" s="1246"/>
      <c r="I22" s="1245" t="str">
        <f>IFERROR(100*((I21*62.3)-I20)/(I21*62.3),"")</f>
        <v/>
      </c>
      <c r="J22" s="1246"/>
      <c r="K22" s="1245" t="str">
        <f>IFERROR(100*((K21*62.3)-K20)/(K21*62.3),"")</f>
        <v/>
      </c>
      <c r="L22" s="1246"/>
      <c r="M22" s="1245" t="str">
        <f>IFERROR(AVERAGE(G22:L22),"")</f>
        <v/>
      </c>
      <c r="N22" s="1247"/>
    </row>
    <row r="23" spans="1:14" ht="16.2" thickBot="1" x14ac:dyDescent="0.35"/>
    <row r="24" spans="1:14" ht="18" x14ac:dyDescent="0.4">
      <c r="A24" s="1248" t="s">
        <v>119</v>
      </c>
      <c r="B24" s="1249"/>
      <c r="C24" s="1249"/>
      <c r="D24" s="32" t="s">
        <v>120</v>
      </c>
      <c r="J24" s="14" t="s">
        <v>124</v>
      </c>
      <c r="K24" s="34" t="s">
        <v>125</v>
      </c>
      <c r="L24" s="119"/>
    </row>
    <row r="25" spans="1:14" ht="18.600000000000001" thickBot="1" x14ac:dyDescent="0.45">
      <c r="A25" s="1250" t="s">
        <v>121</v>
      </c>
      <c r="B25" s="1251"/>
      <c r="C25" s="1251"/>
      <c r="D25" s="33" t="s">
        <v>122</v>
      </c>
      <c r="J25" s="14" t="s">
        <v>127</v>
      </c>
      <c r="K25" s="34" t="s">
        <v>125</v>
      </c>
      <c r="L25" s="119"/>
    </row>
    <row r="26" spans="1:14" ht="18.600000000000001" thickBot="1" x14ac:dyDescent="0.45">
      <c r="J26" s="14" t="s">
        <v>133</v>
      </c>
      <c r="K26" s="34" t="s">
        <v>125</v>
      </c>
      <c r="L26" s="119"/>
    </row>
    <row r="27" spans="1:14" ht="18" x14ac:dyDescent="0.4">
      <c r="A27" s="1252" t="s">
        <v>123</v>
      </c>
      <c r="B27" s="1253"/>
      <c r="C27" s="1253"/>
      <c r="D27" s="1256">
        <v>1</v>
      </c>
      <c r="E27" s="1256"/>
      <c r="F27" s="1256"/>
      <c r="G27" s="1256"/>
      <c r="H27" s="1236"/>
      <c r="J27" s="14" t="s">
        <v>209</v>
      </c>
      <c r="K27" s="34" t="s">
        <v>125</v>
      </c>
      <c r="L27" s="119"/>
    </row>
    <row r="28" spans="1:14" ht="18" x14ac:dyDescent="0.4">
      <c r="A28" s="1254"/>
      <c r="B28" s="1255"/>
      <c r="C28" s="1255"/>
      <c r="D28" s="26" t="s">
        <v>124</v>
      </c>
      <c r="E28" s="35" t="s">
        <v>126</v>
      </c>
      <c r="F28" s="26" t="s">
        <v>127</v>
      </c>
      <c r="G28" s="36" t="s">
        <v>126</v>
      </c>
      <c r="H28" s="37" t="s">
        <v>128</v>
      </c>
      <c r="J28" s="14" t="s">
        <v>210</v>
      </c>
      <c r="K28" s="34" t="s">
        <v>125</v>
      </c>
      <c r="L28" s="119"/>
    </row>
    <row r="29" spans="1:14" ht="18.600000000000001" thickBot="1" x14ac:dyDescent="0.45">
      <c r="A29" s="1257" t="s">
        <v>129</v>
      </c>
      <c r="B29" s="1258"/>
      <c r="C29" s="1258"/>
      <c r="D29" s="38" t="s">
        <v>130</v>
      </c>
      <c r="E29" s="39"/>
      <c r="F29" s="38" t="s">
        <v>131</v>
      </c>
      <c r="G29" s="25"/>
      <c r="H29" s="33" t="s">
        <v>132</v>
      </c>
      <c r="J29" s="15" t="s">
        <v>135</v>
      </c>
      <c r="K29" s="43" t="s">
        <v>125</v>
      </c>
      <c r="L29" s="118">
        <f>IF('2 Aggregate System'!G13=0,1,'2 Aggregate System'!G13)</f>
        <v>1</v>
      </c>
    </row>
    <row r="30" spans="1:14" ht="18" x14ac:dyDescent="0.3">
      <c r="A30" s="40" t="s">
        <v>134</v>
      </c>
      <c r="B30" s="41"/>
      <c r="C30" s="41"/>
      <c r="D30" s="41"/>
      <c r="E30" s="41"/>
      <c r="F30" s="41"/>
      <c r="G30" s="41"/>
      <c r="H30" s="42"/>
      <c r="J30" s="15" t="s">
        <v>138</v>
      </c>
      <c r="K30" s="43" t="s">
        <v>125</v>
      </c>
      <c r="L30" s="118">
        <f>IF('2 Aggregate System'!G14=0,1,'2 Aggregate System'!G14)</f>
        <v>1</v>
      </c>
      <c r="M30" s="44"/>
    </row>
    <row r="31" spans="1:14" ht="18" x14ac:dyDescent="0.4">
      <c r="A31" s="1240" t="s">
        <v>136</v>
      </c>
      <c r="B31" s="1241"/>
      <c r="C31" s="10" t="s">
        <v>137</v>
      </c>
      <c r="H31" s="45"/>
      <c r="J31" s="15" t="s">
        <v>141</v>
      </c>
      <c r="K31" s="43" t="s">
        <v>125</v>
      </c>
      <c r="L31" s="118">
        <f>IF('2 Aggregate System'!G15=0,1,'2 Aggregate System'!G15)</f>
        <v>1</v>
      </c>
      <c r="M31" s="44"/>
    </row>
    <row r="32" spans="1:14" ht="18.600000000000001" thickBot="1" x14ac:dyDescent="0.45">
      <c r="A32" s="1259" t="s">
        <v>139</v>
      </c>
      <c r="B32" s="1260"/>
      <c r="C32" s="30" t="s">
        <v>140</v>
      </c>
      <c r="D32" s="30"/>
      <c r="E32" s="30"/>
      <c r="F32" s="30"/>
      <c r="G32" s="30"/>
      <c r="H32" s="46"/>
      <c r="J32" s="15" t="s">
        <v>211</v>
      </c>
      <c r="K32" s="43" t="s">
        <v>125</v>
      </c>
      <c r="L32" s="118">
        <f>IF('2 Aggregate System'!G16=0,1,'2 Aggregate System'!G16)</f>
        <v>1</v>
      </c>
      <c r="M32" s="44"/>
    </row>
    <row r="33" spans="1:13" ht="18" x14ac:dyDescent="0.3">
      <c r="J33" s="15" t="s">
        <v>212</v>
      </c>
      <c r="K33" s="43" t="s">
        <v>125</v>
      </c>
      <c r="L33" s="118">
        <f>IF('2 Aggregate System'!G17=0,1,'2 Aggregate System'!G17)</f>
        <v>1</v>
      </c>
    </row>
    <row r="34" spans="1:13" ht="16.2" thickBot="1" x14ac:dyDescent="0.35">
      <c r="J34" s="15"/>
      <c r="K34" s="43"/>
      <c r="L34" s="49"/>
    </row>
    <row r="35" spans="1:13" x14ac:dyDescent="0.3">
      <c r="A35" s="1261" t="s">
        <v>142</v>
      </c>
      <c r="B35" s="1262"/>
      <c r="C35" s="1262"/>
      <c r="D35" s="1256">
        <v>1</v>
      </c>
      <c r="E35" s="1256"/>
      <c r="F35" s="1256"/>
      <c r="G35" s="1256"/>
      <c r="H35" s="1236"/>
      <c r="I35" s="1253" t="s">
        <v>125</v>
      </c>
      <c r="J35" s="1264" t="str">
        <f>IFERROR(1/((L24/(L29*100))+(L25/(L30*100))+(L26/(L31*100))+(L27/(L32*100))+(L28/(L33*100))),"")</f>
        <v/>
      </c>
      <c r="K35" s="1265"/>
      <c r="L35" s="1266"/>
    </row>
    <row r="36" spans="1:13" ht="18" x14ac:dyDescent="0.4">
      <c r="A36" s="1273" t="s">
        <v>129</v>
      </c>
      <c r="B36" s="1274"/>
      <c r="C36" s="1274"/>
      <c r="D36" s="26" t="s">
        <v>124</v>
      </c>
      <c r="E36" s="35" t="s">
        <v>126</v>
      </c>
      <c r="F36" s="26" t="s">
        <v>127</v>
      </c>
      <c r="G36" s="36" t="s">
        <v>126</v>
      </c>
      <c r="H36" s="37" t="s">
        <v>128</v>
      </c>
      <c r="I36" s="1255"/>
      <c r="J36" s="1267"/>
      <c r="K36" s="1268"/>
      <c r="L36" s="1269"/>
    </row>
    <row r="37" spans="1:13" ht="18.600000000000001" thickBot="1" x14ac:dyDescent="0.45">
      <c r="A37" s="29"/>
      <c r="B37" s="30"/>
      <c r="C37" s="30"/>
      <c r="D37" s="38" t="s">
        <v>130</v>
      </c>
      <c r="E37" s="39"/>
      <c r="F37" s="38" t="s">
        <v>131</v>
      </c>
      <c r="G37" s="25"/>
      <c r="H37" s="33" t="s">
        <v>132</v>
      </c>
      <c r="I37" s="1263"/>
      <c r="J37" s="1270"/>
      <c r="K37" s="1271"/>
      <c r="L37" s="1272"/>
    </row>
    <row r="38" spans="1:13" ht="16.2" thickBot="1" x14ac:dyDescent="0.35">
      <c r="G38" s="47"/>
      <c r="H38" s="48"/>
      <c r="I38" s="47"/>
      <c r="J38" s="48"/>
      <c r="K38" s="48"/>
      <c r="L38" s="47"/>
      <c r="M38" s="47"/>
    </row>
    <row r="39" spans="1:13" x14ac:dyDescent="0.3">
      <c r="A39" s="1261" t="s">
        <v>143</v>
      </c>
      <c r="B39" s="1262"/>
      <c r="C39" s="1275" t="s">
        <v>144</v>
      </c>
      <c r="D39" s="1275"/>
      <c r="E39" s="1276" t="str">
        <f>IFERROR(ROUND(M22,0),"")</f>
        <v/>
      </c>
      <c r="F39" s="1277"/>
    </row>
    <row r="40" spans="1:13" ht="16.2" thickBot="1" x14ac:dyDescent="0.35">
      <c r="A40" s="1250" t="s">
        <v>145</v>
      </c>
      <c r="B40" s="1251"/>
      <c r="C40" s="1280" t="s">
        <v>146</v>
      </c>
      <c r="D40" s="1280"/>
      <c r="E40" s="1278"/>
      <c r="F40" s="1279"/>
    </row>
    <row r="44" spans="1:13" x14ac:dyDescent="0.3">
      <c r="I44" s="14"/>
      <c r="J44" s="14"/>
      <c r="K44" s="14"/>
      <c r="L44" s="14"/>
      <c r="M44" s="14"/>
    </row>
    <row r="46" spans="1:13" x14ac:dyDescent="0.3">
      <c r="I46" s="14"/>
      <c r="J46" s="14"/>
      <c r="K46" s="14"/>
      <c r="L46" s="14"/>
      <c r="M46" s="14"/>
    </row>
    <row r="50" spans="5:14" x14ac:dyDescent="0.3">
      <c r="E50" s="47"/>
      <c r="F50" s="47"/>
      <c r="G50" s="47"/>
      <c r="H50" s="47"/>
      <c r="I50" s="47"/>
      <c r="J50" s="47"/>
      <c r="K50" s="47"/>
      <c r="L50" s="47"/>
      <c r="M50" s="47"/>
      <c r="N50" s="47"/>
    </row>
    <row r="51" spans="5:14" x14ac:dyDescent="0.3">
      <c r="G51" s="14"/>
      <c r="H51" s="14"/>
      <c r="I51" s="47"/>
      <c r="J51" s="47"/>
      <c r="K51" s="47"/>
      <c r="L51" s="47"/>
      <c r="M51" s="47"/>
    </row>
    <row r="52" spans="5:14" x14ac:dyDescent="0.3">
      <c r="I52" s="47"/>
      <c r="J52" s="47"/>
      <c r="K52" s="47"/>
      <c r="L52" s="47"/>
      <c r="M52" s="47"/>
    </row>
    <row r="54" spans="5:14" x14ac:dyDescent="0.3">
      <c r="G54" s="14"/>
      <c r="H54" s="14"/>
      <c r="I54" s="47"/>
      <c r="J54" s="47"/>
      <c r="K54" s="47"/>
    </row>
    <row r="55" spans="5:14" x14ac:dyDescent="0.3">
      <c r="I55" s="47"/>
      <c r="J55" s="47"/>
      <c r="K55" s="47"/>
    </row>
    <row r="57" spans="5:14" x14ac:dyDescent="0.3">
      <c r="G57" s="14"/>
      <c r="H57" s="14"/>
    </row>
  </sheetData>
  <sheetProtection selectLockedCells="1"/>
  <mergeCells count="76">
    <mergeCell ref="A39:B39"/>
    <mergeCell ref="C39:D39"/>
    <mergeCell ref="E39:F40"/>
    <mergeCell ref="A40:B40"/>
    <mergeCell ref="C40:D40"/>
    <mergeCell ref="A32:B32"/>
    <mergeCell ref="A35:C35"/>
    <mergeCell ref="D35:H35"/>
    <mergeCell ref="I35:I37"/>
    <mergeCell ref="J35:L37"/>
    <mergeCell ref="A36:C36"/>
    <mergeCell ref="A31:B31"/>
    <mergeCell ref="G21:H21"/>
    <mergeCell ref="I21:J21"/>
    <mergeCell ref="K21:L21"/>
    <mergeCell ref="M21:N21"/>
    <mergeCell ref="G22:H22"/>
    <mergeCell ref="I22:J22"/>
    <mergeCell ref="K22:L22"/>
    <mergeCell ref="M22:N22"/>
    <mergeCell ref="A24:C24"/>
    <mergeCell ref="A25:C25"/>
    <mergeCell ref="A27:C28"/>
    <mergeCell ref="D27:H27"/>
    <mergeCell ref="A29:C29"/>
    <mergeCell ref="G19:H19"/>
    <mergeCell ref="I19:J19"/>
    <mergeCell ref="K19:L19"/>
    <mergeCell ref="M19:N19"/>
    <mergeCell ref="G20:H20"/>
    <mergeCell ref="I20:J20"/>
    <mergeCell ref="K20:L20"/>
    <mergeCell ref="M20:N20"/>
    <mergeCell ref="G17:H17"/>
    <mergeCell ref="I17:J17"/>
    <mergeCell ref="K17:L17"/>
    <mergeCell ref="G18:H18"/>
    <mergeCell ref="I18:J18"/>
    <mergeCell ref="K18:L18"/>
    <mergeCell ref="G15:H15"/>
    <mergeCell ref="I15:J15"/>
    <mergeCell ref="K15:L15"/>
    <mergeCell ref="G16:H16"/>
    <mergeCell ref="I16:J16"/>
    <mergeCell ref="K16:L16"/>
    <mergeCell ref="G14:L14"/>
    <mergeCell ref="A10:C10"/>
    <mergeCell ref="D10:G10"/>
    <mergeCell ref="L10:N10"/>
    <mergeCell ref="A11:C11"/>
    <mergeCell ref="D11:G11"/>
    <mergeCell ref="L11:N11"/>
    <mergeCell ref="A12:C12"/>
    <mergeCell ref="D12:G12"/>
    <mergeCell ref="L12:N12"/>
    <mergeCell ref="A13:C13"/>
    <mergeCell ref="D13:G13"/>
    <mergeCell ref="A6:D6"/>
    <mergeCell ref="E6:N6"/>
    <mergeCell ref="A7:D7"/>
    <mergeCell ref="E7:N7"/>
    <mergeCell ref="A8:D8"/>
    <mergeCell ref="E8:N8"/>
    <mergeCell ref="A4:D4"/>
    <mergeCell ref="E4:G4"/>
    <mergeCell ref="H4:K4"/>
    <mergeCell ref="L4:N4"/>
    <mergeCell ref="A5:D5"/>
    <mergeCell ref="E5:N5"/>
    <mergeCell ref="A1:H1"/>
    <mergeCell ref="J1:N1"/>
    <mergeCell ref="A2:N2"/>
    <mergeCell ref="A3:D3"/>
    <mergeCell ref="E3:G3"/>
    <mergeCell ref="H3:K3"/>
    <mergeCell ref="L3:N3"/>
  </mergeCells>
  <pageMargins left="0.7" right="0.7" top="0.75" bottom="0.75" header="0.3" footer="0.3"/>
  <pageSetup scale="81" orientation="portrait" verticalDpi="200" r:id="rId1"/>
  <ignoredErrors>
    <ignoredError sqref="M21"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74625-12AD-4BD4-BEFF-20DD87F26611}">
  <dimension ref="A1:Q185"/>
  <sheetViews>
    <sheetView workbookViewId="0">
      <selection activeCell="A2" sqref="A2:L2"/>
    </sheetView>
  </sheetViews>
  <sheetFormatPr defaultColWidth="8.88671875" defaultRowHeight="14.4" x14ac:dyDescent="0.3"/>
  <cols>
    <col min="1" max="1" width="3.44140625" style="562" customWidth="1"/>
    <col min="2" max="2" width="8.88671875" style="562"/>
    <col min="3" max="3" width="9.5546875" style="562" bestFit="1" customWidth="1"/>
    <col min="4" max="11" width="8.88671875" style="562"/>
    <col min="12" max="12" width="13" style="562" customWidth="1"/>
    <col min="13" max="15" width="8.88671875" style="562"/>
    <col min="16" max="16" width="9.6640625" style="562" customWidth="1"/>
    <col min="17" max="26" width="8.88671875" style="562"/>
    <col min="27" max="27" width="5.6640625" style="562" customWidth="1"/>
    <col min="28" max="16384" width="8.88671875" style="562"/>
  </cols>
  <sheetData>
    <row r="1" spans="1:16" ht="16.2" thickBot="1" x14ac:dyDescent="0.35">
      <c r="A1" s="1309" t="s">
        <v>674</v>
      </c>
      <c r="B1" s="1310"/>
      <c r="C1" s="1310"/>
      <c r="D1" s="1310"/>
      <c r="E1" s="1310"/>
      <c r="F1" s="1310"/>
      <c r="G1" s="1310"/>
      <c r="H1" s="1310"/>
      <c r="I1" s="1311" t="s">
        <v>387</v>
      </c>
      <c r="J1" s="1311"/>
      <c r="K1" s="1311"/>
      <c r="L1" s="1312"/>
    </row>
    <row r="2" spans="1:16" ht="15" thickBot="1" x14ac:dyDescent="0.35">
      <c r="A2" s="835" t="s">
        <v>675</v>
      </c>
      <c r="B2" s="835"/>
      <c r="C2" s="835"/>
      <c r="D2" s="835"/>
      <c r="E2" s="835"/>
      <c r="F2" s="835"/>
      <c r="G2" s="835"/>
      <c r="H2" s="835"/>
      <c r="I2" s="835"/>
      <c r="J2" s="835"/>
      <c r="K2" s="835"/>
      <c r="L2" s="835"/>
    </row>
    <row r="3" spans="1:16" ht="15" customHeight="1" thickBot="1" x14ac:dyDescent="0.35">
      <c r="A3" s="1309" t="s">
        <v>561</v>
      </c>
      <c r="B3" s="1310"/>
      <c r="C3" s="1310"/>
      <c r="D3" s="1310"/>
      <c r="E3" s="1310"/>
      <c r="F3" s="1310"/>
      <c r="G3" s="1310"/>
      <c r="H3" s="1310"/>
      <c r="I3" s="1310"/>
      <c r="J3" s="1310"/>
      <c r="K3" s="1310"/>
      <c r="L3" s="1313"/>
      <c r="M3" s="545"/>
      <c r="N3" s="545"/>
      <c r="O3" s="545"/>
      <c r="P3" s="545"/>
    </row>
    <row r="4" spans="1:16" ht="14.7" customHeight="1" x14ac:dyDescent="0.3">
      <c r="A4" s="1281" t="s">
        <v>171</v>
      </c>
      <c r="B4" s="1282"/>
      <c r="M4" s="561"/>
    </row>
    <row r="5" spans="1:16" ht="49.8" customHeight="1" x14ac:dyDescent="0.3">
      <c r="A5" s="552"/>
      <c r="B5" s="1283" t="s">
        <v>562</v>
      </c>
      <c r="C5" s="1283"/>
      <c r="D5" s="1283"/>
      <c r="E5" s="1283"/>
      <c r="F5" s="1283"/>
      <c r="G5" s="1283"/>
      <c r="H5" s="1283"/>
      <c r="I5" s="1283"/>
      <c r="J5" s="1283"/>
      <c r="K5" s="1283"/>
      <c r="L5" s="1283"/>
      <c r="M5" s="561"/>
      <c r="P5" s="1284"/>
    </row>
    <row r="6" spans="1:16" ht="3" customHeight="1" x14ac:dyDescent="0.3">
      <c r="A6" s="552"/>
      <c r="B6" s="1285"/>
      <c r="M6" s="561"/>
    </row>
    <row r="7" spans="1:16" ht="46.2" customHeight="1" x14ac:dyDescent="0.3">
      <c r="B7" s="1283" t="s">
        <v>563</v>
      </c>
      <c r="C7" s="1283"/>
      <c r="D7" s="1283"/>
      <c r="E7" s="1283"/>
      <c r="F7" s="1283"/>
      <c r="G7" s="1283"/>
      <c r="H7" s="1283"/>
      <c r="I7" s="1283"/>
      <c r="J7" s="1283"/>
      <c r="K7" s="1283"/>
      <c r="L7" s="1283"/>
      <c r="M7" s="561"/>
    </row>
    <row r="8" spans="1:16" ht="3" customHeight="1" x14ac:dyDescent="0.3">
      <c r="A8" s="552"/>
      <c r="B8" s="1285"/>
      <c r="M8" s="561"/>
    </row>
    <row r="9" spans="1:16" ht="14.4" customHeight="1" x14ac:dyDescent="0.3">
      <c r="B9" s="553" t="s">
        <v>564</v>
      </c>
      <c r="M9" s="561"/>
    </row>
    <row r="10" spans="1:16" ht="3" customHeight="1" thickBot="1" x14ac:dyDescent="0.35">
      <c r="B10" s="553"/>
      <c r="M10" s="561"/>
    </row>
    <row r="11" spans="1:16" ht="15" thickBot="1" x14ac:dyDescent="0.35">
      <c r="B11" s="1286" t="s">
        <v>371</v>
      </c>
      <c r="C11" s="1287"/>
      <c r="D11" s="1287"/>
      <c r="E11" s="1287"/>
      <c r="F11" s="1288"/>
      <c r="G11" s="1289"/>
      <c r="H11" s="1289"/>
      <c r="I11" s="1289"/>
      <c r="M11" s="561"/>
    </row>
    <row r="12" spans="1:16" ht="15" thickBot="1" x14ac:dyDescent="0.35">
      <c r="B12" s="1290" t="s">
        <v>0</v>
      </c>
      <c r="C12" s="1291"/>
      <c r="D12" s="1292"/>
      <c r="N12" s="561"/>
      <c r="O12" s="561"/>
      <c r="P12" s="561"/>
    </row>
    <row r="13" spans="1:16" ht="15" thickBot="1" x14ac:dyDescent="0.35">
      <c r="B13" s="845" t="s">
        <v>451</v>
      </c>
      <c r="C13" s="846"/>
      <c r="D13" s="847"/>
    </row>
    <row r="14" spans="1:16" ht="15" thickBot="1" x14ac:dyDescent="0.35">
      <c r="B14" s="848" t="s">
        <v>451</v>
      </c>
      <c r="C14" s="849"/>
      <c r="D14" s="850"/>
      <c r="E14" s="1293"/>
      <c r="F14" s="1293"/>
      <c r="G14" s="1293"/>
    </row>
    <row r="15" spans="1:16" ht="15" thickBot="1" x14ac:dyDescent="0.35">
      <c r="B15" s="708"/>
      <c r="C15" s="708"/>
      <c r="D15" s="708"/>
      <c r="E15" s="1293"/>
      <c r="F15" s="1293"/>
      <c r="G15" s="1293"/>
    </row>
    <row r="16" spans="1:16" ht="16.2" thickBot="1" x14ac:dyDescent="0.35">
      <c r="A16" s="1309" t="s">
        <v>523</v>
      </c>
      <c r="B16" s="1310"/>
      <c r="C16" s="1310"/>
      <c r="D16" s="1310"/>
      <c r="E16" s="1310"/>
      <c r="F16" s="1310"/>
      <c r="G16" s="1310"/>
      <c r="H16" s="1310"/>
      <c r="I16" s="1310"/>
      <c r="J16" s="1310"/>
      <c r="K16" s="1310"/>
      <c r="L16" s="1313"/>
      <c r="M16" s="1294"/>
      <c r="N16" s="1294"/>
      <c r="O16" s="1294"/>
      <c r="P16" s="1294"/>
    </row>
    <row r="17" spans="1:17" ht="15" thickBot="1" x14ac:dyDescent="0.35">
      <c r="A17" s="1314" t="s">
        <v>565</v>
      </c>
      <c r="B17" s="1315"/>
      <c r="C17" s="1315"/>
      <c r="D17" s="1315"/>
      <c r="E17" s="1315"/>
      <c r="F17" s="1315"/>
      <c r="G17" s="1315"/>
      <c r="H17" s="1315"/>
      <c r="I17" s="1315"/>
      <c r="J17" s="1315"/>
      <c r="K17" s="1315"/>
      <c r="L17" s="1316"/>
      <c r="M17" s="1295"/>
      <c r="N17" s="1295"/>
      <c r="O17" s="1295"/>
      <c r="P17" s="1295"/>
    </row>
    <row r="18" spans="1:17" x14ac:dyDescent="0.3">
      <c r="A18"/>
      <c r="B18" s="1296" t="s">
        <v>566</v>
      </c>
      <c r="C18" s="562" t="s">
        <v>567</v>
      </c>
    </row>
    <row r="19" spans="1:17" ht="14.7" customHeight="1" x14ac:dyDescent="0.3">
      <c r="A19"/>
      <c r="B19" s="1296" t="s">
        <v>568</v>
      </c>
      <c r="C19" s="562" t="s">
        <v>569</v>
      </c>
    </row>
    <row r="20" spans="1:17" ht="14.7" customHeight="1" x14ac:dyDescent="0.3">
      <c r="A20"/>
      <c r="B20" s="1296" t="s">
        <v>570</v>
      </c>
      <c r="C20" s="562" t="s">
        <v>571</v>
      </c>
    </row>
    <row r="21" spans="1:17" ht="14.7" customHeight="1" thickBot="1" x14ac:dyDescent="0.35">
      <c r="A21"/>
      <c r="B21" s="1296"/>
    </row>
    <row r="22" spans="1:17" ht="15" thickBot="1" x14ac:dyDescent="0.35">
      <c r="A22" s="1314" t="s">
        <v>572</v>
      </c>
      <c r="B22" s="1315"/>
      <c r="C22" s="1315"/>
      <c r="D22" s="1315"/>
      <c r="E22" s="1315"/>
      <c r="F22" s="1315"/>
      <c r="G22" s="1315"/>
      <c r="H22" s="1315"/>
      <c r="I22" s="1315"/>
      <c r="J22" s="1315"/>
      <c r="K22" s="1315"/>
      <c r="L22" s="1316"/>
      <c r="M22" s="1295"/>
      <c r="N22" s="1295"/>
      <c r="O22" s="1295"/>
      <c r="P22" s="1295"/>
    </row>
    <row r="23" spans="1:17" ht="14.7" customHeight="1" x14ac:dyDescent="0.3">
      <c r="B23" s="1282" t="s">
        <v>573</v>
      </c>
      <c r="C23" s="570" t="s">
        <v>574</v>
      </c>
      <c r="D23" s="570"/>
      <c r="E23" s="570"/>
      <c r="F23" s="570"/>
      <c r="G23" s="570"/>
      <c r="H23" s="570"/>
      <c r="I23" s="570"/>
    </row>
    <row r="24" spans="1:17" ht="14.7" customHeight="1" x14ac:dyDescent="0.3">
      <c r="B24" s="1282" t="s">
        <v>575</v>
      </c>
      <c r="C24" s="1297">
        <v>46096</v>
      </c>
      <c r="D24" s="570"/>
      <c r="E24" s="570"/>
      <c r="F24" s="570"/>
      <c r="G24" s="570"/>
      <c r="H24" s="570"/>
    </row>
    <row r="25" spans="1:17" ht="15" thickBot="1" x14ac:dyDescent="0.35"/>
    <row r="26" spans="1:17" ht="15" thickBot="1" x14ac:dyDescent="0.35">
      <c r="A26" s="1314" t="s">
        <v>576</v>
      </c>
      <c r="B26" s="1315"/>
      <c r="C26" s="1315"/>
      <c r="D26" s="1315"/>
      <c r="E26" s="1315"/>
      <c r="F26" s="1315"/>
      <c r="G26" s="1315"/>
      <c r="H26" s="1315"/>
      <c r="I26" s="1315"/>
      <c r="J26" s="1315"/>
      <c r="K26" s="1315"/>
      <c r="L26" s="1316"/>
      <c r="M26" s="1295"/>
      <c r="N26" s="1295"/>
      <c r="O26" s="1295"/>
      <c r="P26" s="1295"/>
    </row>
    <row r="27" spans="1:17" ht="14.7" customHeight="1" x14ac:dyDescent="0.3">
      <c r="B27" s="722" t="s">
        <v>573</v>
      </c>
      <c r="C27" s="562" t="s">
        <v>577</v>
      </c>
    </row>
    <row r="28" spans="1:17" ht="43.8" customHeight="1" x14ac:dyDescent="0.3">
      <c r="B28" s="722" t="s">
        <v>578</v>
      </c>
      <c r="C28" s="1298" t="s">
        <v>579</v>
      </c>
      <c r="D28" s="1298"/>
      <c r="E28" s="1298"/>
      <c r="F28" s="1298"/>
      <c r="G28" s="1298"/>
      <c r="H28" s="1298"/>
      <c r="I28" s="1298"/>
      <c r="J28" s="1298"/>
      <c r="K28" s="1298"/>
      <c r="L28" s="1298"/>
    </row>
    <row r="29" spans="1:17" ht="14.7" customHeight="1" x14ac:dyDescent="0.3">
      <c r="B29" s="722" t="s">
        <v>575</v>
      </c>
      <c r="C29" s="570" t="s">
        <v>580</v>
      </c>
      <c r="I29" s="560"/>
      <c r="Q29" s="570" t="s">
        <v>2</v>
      </c>
    </row>
    <row r="30" spans="1:17" ht="14.7" customHeight="1" x14ac:dyDescent="0.3">
      <c r="B30" s="570"/>
      <c r="C30" s="570" t="s">
        <v>581</v>
      </c>
      <c r="I30" s="560"/>
      <c r="Q30" s="570"/>
    </row>
    <row r="31" spans="1:17" ht="14.7" customHeight="1" thickBot="1" x14ac:dyDescent="0.35">
      <c r="B31" s="570"/>
      <c r="I31" s="565"/>
      <c r="J31" s="560"/>
      <c r="Q31" s="570"/>
    </row>
    <row r="32" spans="1:17" ht="15" thickBot="1" x14ac:dyDescent="0.35">
      <c r="A32" s="1314" t="s">
        <v>582</v>
      </c>
      <c r="B32" s="1315"/>
      <c r="C32" s="1315"/>
      <c r="D32" s="1315"/>
      <c r="E32" s="1315"/>
      <c r="F32" s="1315"/>
      <c r="G32" s="1315"/>
      <c r="H32" s="1315"/>
      <c r="I32" s="1315"/>
      <c r="J32" s="1315"/>
      <c r="K32" s="1315"/>
      <c r="L32" s="1316"/>
      <c r="M32" s="1295"/>
      <c r="N32" s="1295"/>
      <c r="O32" s="1295"/>
      <c r="P32" s="1295"/>
    </row>
    <row r="33" spans="1:17" ht="14.7" customHeight="1" x14ac:dyDescent="0.3">
      <c r="B33" s="722" t="s">
        <v>573</v>
      </c>
      <c r="C33" s="562" t="s">
        <v>583</v>
      </c>
    </row>
    <row r="34" spans="1:17" ht="14.7" customHeight="1" x14ac:dyDescent="0.3">
      <c r="B34" s="1282" t="s">
        <v>575</v>
      </c>
      <c r="C34" s="1297">
        <v>46047</v>
      </c>
      <c r="I34" s="560"/>
      <c r="Q34" s="570" t="s">
        <v>2</v>
      </c>
    </row>
    <row r="35" spans="1:17" ht="14.7" customHeight="1" thickBot="1" x14ac:dyDescent="0.35">
      <c r="B35" s="570"/>
      <c r="C35" s="570"/>
      <c r="I35" s="560"/>
      <c r="Q35" s="570"/>
    </row>
    <row r="36" spans="1:17" ht="15" thickBot="1" x14ac:dyDescent="0.35">
      <c r="A36" s="1314" t="s">
        <v>584</v>
      </c>
      <c r="B36" s="1315"/>
      <c r="C36" s="1315"/>
      <c r="D36" s="1315"/>
      <c r="E36" s="1315"/>
      <c r="F36" s="1315"/>
      <c r="G36" s="1315"/>
      <c r="H36" s="1315"/>
      <c r="I36" s="1315"/>
      <c r="J36" s="1315"/>
      <c r="K36" s="1315"/>
      <c r="L36" s="1316"/>
      <c r="M36" s="1295"/>
      <c r="N36" s="1295"/>
      <c r="O36" s="1295"/>
      <c r="P36" s="1295"/>
    </row>
    <row r="37" spans="1:17" ht="14.7" customHeight="1" x14ac:dyDescent="0.3">
      <c r="B37" s="722" t="s">
        <v>573</v>
      </c>
      <c r="C37" s="562" t="s">
        <v>585</v>
      </c>
    </row>
    <row r="38" spans="1:17" ht="14.7" customHeight="1" thickBot="1" x14ac:dyDescent="0.35">
      <c r="B38" s="1282"/>
      <c r="C38" s="1297"/>
      <c r="I38" s="560"/>
      <c r="Q38" s="570" t="s">
        <v>2</v>
      </c>
    </row>
    <row r="39" spans="1:17" ht="15" thickBot="1" x14ac:dyDescent="0.35">
      <c r="A39" s="1314" t="s">
        <v>586</v>
      </c>
      <c r="B39" s="1315"/>
      <c r="C39" s="1315"/>
      <c r="D39" s="1315"/>
      <c r="E39" s="1315"/>
      <c r="F39" s="1315"/>
      <c r="G39" s="1315"/>
      <c r="H39" s="1315"/>
      <c r="I39" s="1315"/>
      <c r="J39" s="1315"/>
      <c r="K39" s="1315"/>
      <c r="L39" s="1316"/>
      <c r="M39" s="1295"/>
      <c r="N39" s="1295"/>
      <c r="O39" s="1295"/>
      <c r="P39" s="1295"/>
    </row>
    <row r="40" spans="1:17" ht="14.7" customHeight="1" x14ac:dyDescent="0.3">
      <c r="B40" s="722" t="s">
        <v>573</v>
      </c>
      <c r="C40" s="562" t="s">
        <v>587</v>
      </c>
    </row>
    <row r="41" spans="1:17" ht="14.7" customHeight="1" x14ac:dyDescent="0.3">
      <c r="B41" s="722" t="s">
        <v>578</v>
      </c>
      <c r="C41" s="562" t="s">
        <v>588</v>
      </c>
    </row>
    <row r="42" spans="1:17" ht="14.7" customHeight="1" x14ac:dyDescent="0.3">
      <c r="B42" s="722"/>
      <c r="C42" s="562" t="s">
        <v>589</v>
      </c>
    </row>
    <row r="43" spans="1:17" ht="14.7" customHeight="1" x14ac:dyDescent="0.3">
      <c r="B43" s="570"/>
      <c r="C43" s="562" t="s">
        <v>590</v>
      </c>
      <c r="I43" s="565"/>
      <c r="J43" s="560"/>
      <c r="Q43" s="570"/>
    </row>
    <row r="44" spans="1:17" ht="14.7" customHeight="1" thickBot="1" x14ac:dyDescent="0.35">
      <c r="B44" s="570"/>
      <c r="I44" s="565"/>
      <c r="J44" s="560"/>
      <c r="Q44" s="570"/>
    </row>
    <row r="45" spans="1:17" ht="15" thickBot="1" x14ac:dyDescent="0.35">
      <c r="A45" s="1314" t="s">
        <v>591</v>
      </c>
      <c r="B45" s="1315"/>
      <c r="C45" s="1315"/>
      <c r="D45" s="1315"/>
      <c r="E45" s="1315"/>
      <c r="F45" s="1315"/>
      <c r="G45" s="1315"/>
      <c r="H45" s="1315"/>
      <c r="I45" s="1315"/>
      <c r="J45" s="1315"/>
      <c r="K45" s="1315"/>
      <c r="L45" s="1316"/>
      <c r="M45" s="1295"/>
      <c r="N45" s="1295"/>
      <c r="O45" s="1295"/>
      <c r="P45" s="1295"/>
    </row>
    <row r="46" spans="1:17" ht="14.7" customHeight="1" x14ac:dyDescent="0.3">
      <c r="B46" s="722" t="s">
        <v>573</v>
      </c>
      <c r="C46" s="562" t="s">
        <v>587</v>
      </c>
    </row>
    <row r="47" spans="1:17" ht="14.7" customHeight="1" x14ac:dyDescent="0.3">
      <c r="B47" s="1282" t="s">
        <v>570</v>
      </c>
      <c r="C47" s="1297" t="s">
        <v>592</v>
      </c>
      <c r="I47" s="560"/>
      <c r="Q47" s="570" t="s">
        <v>2</v>
      </c>
    </row>
    <row r="48" spans="1:17" ht="14.7" customHeight="1" x14ac:dyDescent="0.3">
      <c r="B48" s="1282" t="s">
        <v>575</v>
      </c>
      <c r="C48" s="1299" t="s">
        <v>593</v>
      </c>
      <c r="I48" s="560"/>
      <c r="Q48" s="570"/>
    </row>
    <row r="49" spans="1:17" ht="14.7" customHeight="1" x14ac:dyDescent="0.3">
      <c r="B49" s="1282"/>
      <c r="C49" s="1299" t="s">
        <v>594</v>
      </c>
      <c r="I49" s="560"/>
      <c r="Q49" s="570"/>
    </row>
    <row r="50" spans="1:17" ht="14.7" customHeight="1" x14ac:dyDescent="0.3">
      <c r="B50" s="1282"/>
      <c r="C50" s="1299" t="s">
        <v>595</v>
      </c>
      <c r="I50" s="560"/>
      <c r="Q50" s="570"/>
    </row>
    <row r="51" spans="1:17" ht="14.7" customHeight="1" x14ac:dyDescent="0.3">
      <c r="B51" s="1282"/>
      <c r="C51" s="1299" t="s">
        <v>596</v>
      </c>
      <c r="I51" s="560"/>
      <c r="Q51" s="570"/>
    </row>
    <row r="52" spans="1:17" ht="14.7" customHeight="1" x14ac:dyDescent="0.3">
      <c r="B52" s="1282"/>
      <c r="C52" s="1299" t="s">
        <v>597</v>
      </c>
      <c r="I52" s="560"/>
      <c r="Q52" s="570"/>
    </row>
    <row r="53" spans="1:17" ht="14.7" customHeight="1" x14ac:dyDescent="0.3">
      <c r="B53" s="1282"/>
      <c r="C53" s="1299" t="s">
        <v>598</v>
      </c>
      <c r="I53" s="560"/>
      <c r="Q53" s="570"/>
    </row>
    <row r="54" spans="1:17" ht="14.7" customHeight="1" x14ac:dyDescent="0.3">
      <c r="B54" s="1282"/>
      <c r="C54" s="1299" t="s">
        <v>599</v>
      </c>
      <c r="I54" s="560"/>
      <c r="Q54" s="570"/>
    </row>
    <row r="55" spans="1:17" ht="14.7" customHeight="1" thickBot="1" x14ac:dyDescent="0.35">
      <c r="B55" s="570"/>
      <c r="C55" s="570"/>
      <c r="I55" s="560"/>
      <c r="Q55" s="570"/>
    </row>
    <row r="56" spans="1:17" ht="15" thickBot="1" x14ac:dyDescent="0.35">
      <c r="A56" s="1314" t="s">
        <v>600</v>
      </c>
      <c r="B56" s="1315"/>
      <c r="C56" s="1315"/>
      <c r="D56" s="1315"/>
      <c r="E56" s="1315"/>
      <c r="F56" s="1315"/>
      <c r="G56" s="1315"/>
      <c r="H56" s="1315"/>
      <c r="I56" s="1315"/>
      <c r="J56" s="1315"/>
      <c r="K56" s="1315"/>
      <c r="L56" s="1316"/>
      <c r="M56" s="1295"/>
      <c r="N56" s="1295"/>
      <c r="O56" s="1295"/>
      <c r="P56" s="1295"/>
    </row>
    <row r="57" spans="1:17" ht="14.7" customHeight="1" x14ac:dyDescent="0.3">
      <c r="B57" s="722" t="s">
        <v>573</v>
      </c>
      <c r="C57" s="562" t="s">
        <v>587</v>
      </c>
    </row>
    <row r="58" spans="1:17" ht="14.7" customHeight="1" x14ac:dyDescent="0.3">
      <c r="B58" s="1282" t="s">
        <v>570</v>
      </c>
      <c r="C58" s="1297" t="s">
        <v>601</v>
      </c>
      <c r="I58" s="560"/>
      <c r="Q58" s="570" t="s">
        <v>2</v>
      </c>
    </row>
    <row r="59" spans="1:17" ht="14.7" customHeight="1" thickBot="1" x14ac:dyDescent="0.35">
      <c r="B59" s="570"/>
      <c r="C59" s="570"/>
      <c r="I59" s="560"/>
      <c r="Q59" s="570"/>
    </row>
    <row r="60" spans="1:17" ht="15" thickBot="1" x14ac:dyDescent="0.35">
      <c r="A60" s="1314" t="s">
        <v>602</v>
      </c>
      <c r="B60" s="1315"/>
      <c r="C60" s="1315"/>
      <c r="D60" s="1315"/>
      <c r="E60" s="1315"/>
      <c r="F60" s="1315"/>
      <c r="G60" s="1315"/>
      <c r="H60" s="1315"/>
      <c r="I60" s="1315"/>
      <c r="J60" s="1315"/>
      <c r="K60" s="1315"/>
      <c r="L60" s="1316"/>
      <c r="M60" s="1295"/>
      <c r="N60" s="1295"/>
      <c r="O60" s="1295"/>
      <c r="P60" s="1295"/>
    </row>
    <row r="61" spans="1:17" ht="15" thickBot="1" x14ac:dyDescent="0.35">
      <c r="B61" s="1300" t="s">
        <v>335</v>
      </c>
      <c r="C61" s="1301"/>
      <c r="D61" s="1301"/>
      <c r="E61" s="1301"/>
      <c r="F61" s="1301"/>
      <c r="G61" s="1301"/>
      <c r="H61" s="1301"/>
      <c r="I61" s="1301"/>
      <c r="J61" s="1301"/>
      <c r="K61" s="1301"/>
      <c r="L61" s="1301"/>
      <c r="M61" s="1295"/>
      <c r="N61" s="1295"/>
      <c r="O61" s="1295"/>
      <c r="P61" s="1295"/>
    </row>
    <row r="62" spans="1:17" ht="14.7" customHeight="1" x14ac:dyDescent="0.3">
      <c r="B62" s="722" t="s">
        <v>573</v>
      </c>
      <c r="C62" s="562" t="s">
        <v>603</v>
      </c>
    </row>
    <row r="63" spans="1:17" ht="14.7" customHeight="1" x14ac:dyDescent="0.3">
      <c r="B63" s="1282" t="s">
        <v>575</v>
      </c>
      <c r="C63" s="1297" t="s">
        <v>604</v>
      </c>
      <c r="I63" s="560"/>
      <c r="Q63" s="570" t="s">
        <v>2</v>
      </c>
    </row>
    <row r="64" spans="1:17" ht="14.7" customHeight="1" x14ac:dyDescent="0.3">
      <c r="B64" s="1282"/>
      <c r="C64" s="1297"/>
      <c r="I64" s="560"/>
      <c r="Q64" s="570"/>
    </row>
    <row r="65" spans="2:17" ht="14.7" customHeight="1" thickBot="1" x14ac:dyDescent="0.35">
      <c r="B65" s="1302" t="s">
        <v>605</v>
      </c>
      <c r="C65" s="1303"/>
      <c r="D65" s="1303"/>
      <c r="E65" s="1303"/>
      <c r="F65" s="1303"/>
      <c r="G65" s="1303"/>
      <c r="H65" s="1303"/>
      <c r="I65" s="1303"/>
      <c r="J65" s="1303"/>
      <c r="K65" s="1303"/>
      <c r="L65" s="1303"/>
      <c r="Q65" s="570"/>
    </row>
    <row r="66" spans="2:17" ht="14.7" customHeight="1" x14ac:dyDescent="0.3">
      <c r="B66" s="1282" t="s">
        <v>573</v>
      </c>
      <c r="C66" s="1297" t="s">
        <v>606</v>
      </c>
      <c r="I66" s="560"/>
      <c r="Q66" s="570"/>
    </row>
    <row r="67" spans="2:17" ht="14.7" customHeight="1" x14ac:dyDescent="0.3">
      <c r="B67" s="1282" t="s">
        <v>575</v>
      </c>
      <c r="C67" s="1297" t="s">
        <v>607</v>
      </c>
      <c r="I67" s="560"/>
      <c r="Q67" s="570"/>
    </row>
    <row r="68" spans="2:17" ht="14.7" customHeight="1" x14ac:dyDescent="0.3">
      <c r="B68" s="1282"/>
      <c r="C68" s="1297"/>
      <c r="I68" s="560"/>
      <c r="Q68" s="570"/>
    </row>
    <row r="69" spans="2:17" ht="14.7" customHeight="1" thickBot="1" x14ac:dyDescent="0.35">
      <c r="B69" s="1302" t="s">
        <v>608</v>
      </c>
      <c r="C69" s="1303"/>
      <c r="D69" s="1303"/>
      <c r="E69" s="1303"/>
      <c r="F69" s="1303"/>
      <c r="G69" s="1303"/>
      <c r="H69" s="1303"/>
      <c r="I69" s="1303"/>
      <c r="J69" s="1303"/>
      <c r="K69" s="1303"/>
      <c r="L69" s="1303"/>
      <c r="Q69" s="570"/>
    </row>
    <row r="70" spans="2:17" ht="14.7" customHeight="1" x14ac:dyDescent="0.3">
      <c r="B70" s="1282" t="s">
        <v>573</v>
      </c>
      <c r="C70" s="1297" t="s">
        <v>609</v>
      </c>
      <c r="I70" s="560"/>
      <c r="Q70" s="570"/>
    </row>
    <row r="71" spans="2:17" ht="14.7" customHeight="1" x14ac:dyDescent="0.3">
      <c r="B71" s="1282" t="s">
        <v>575</v>
      </c>
      <c r="C71" s="1297" t="s">
        <v>610</v>
      </c>
      <c r="I71" s="560"/>
      <c r="Q71" s="570"/>
    </row>
    <row r="72" spans="2:17" ht="14.7" customHeight="1" x14ac:dyDescent="0.3">
      <c r="B72" s="1282"/>
      <c r="C72" s="1297"/>
      <c r="I72" s="560"/>
      <c r="Q72" s="570"/>
    </row>
    <row r="73" spans="2:17" ht="14.7" customHeight="1" thickBot="1" x14ac:dyDescent="0.35">
      <c r="B73" s="1302" t="s">
        <v>611</v>
      </c>
      <c r="C73" s="1303"/>
      <c r="D73" s="1303"/>
      <c r="E73" s="1303"/>
      <c r="F73" s="1303"/>
      <c r="G73" s="1303"/>
      <c r="H73" s="1303"/>
      <c r="I73" s="1303"/>
      <c r="J73" s="1303"/>
      <c r="K73" s="1303"/>
      <c r="L73" s="1303"/>
      <c r="Q73" s="570"/>
    </row>
    <row r="74" spans="2:17" ht="14.7" customHeight="1" x14ac:dyDescent="0.3">
      <c r="B74" s="1282" t="s">
        <v>573</v>
      </c>
      <c r="C74" s="1297" t="s">
        <v>612</v>
      </c>
      <c r="I74" s="560"/>
      <c r="Q74" s="570"/>
    </row>
    <row r="75" spans="2:17" ht="14.7" customHeight="1" x14ac:dyDescent="0.3">
      <c r="B75" s="1282" t="s">
        <v>575</v>
      </c>
      <c r="C75" t="s">
        <v>613</v>
      </c>
      <c r="I75" s="560"/>
      <c r="Q75" s="570"/>
    </row>
    <row r="76" spans="2:17" ht="14.7" customHeight="1" x14ac:dyDescent="0.3">
      <c r="B76" s="1282"/>
      <c r="C76" s="1297"/>
      <c r="I76" s="560"/>
      <c r="Q76" s="570"/>
    </row>
    <row r="77" spans="2:17" ht="14.7" customHeight="1" thickBot="1" x14ac:dyDescent="0.35">
      <c r="B77" s="1302" t="s">
        <v>614</v>
      </c>
      <c r="C77" s="1303"/>
      <c r="D77" s="1303"/>
      <c r="E77" s="1303"/>
      <c r="F77" s="1303"/>
      <c r="G77" s="1303"/>
      <c r="H77" s="1303"/>
      <c r="I77" s="1303"/>
      <c r="J77" s="1303"/>
      <c r="K77" s="1303"/>
      <c r="L77" s="1303"/>
      <c r="Q77" s="570"/>
    </row>
    <row r="78" spans="2:17" ht="14.7" customHeight="1" x14ac:dyDescent="0.3">
      <c r="B78" s="1282" t="s">
        <v>573</v>
      </c>
      <c r="C78" s="1297" t="s">
        <v>615</v>
      </c>
      <c r="I78" s="560"/>
      <c r="Q78" s="570"/>
    </row>
    <row r="79" spans="2:17" ht="14.7" customHeight="1" x14ac:dyDescent="0.3">
      <c r="B79" s="1282" t="s">
        <v>575</v>
      </c>
      <c r="C79" t="s">
        <v>616</v>
      </c>
      <c r="I79" s="560"/>
      <c r="Q79" s="570"/>
    </row>
    <row r="80" spans="2:17" ht="14.7" customHeight="1" x14ac:dyDescent="0.3">
      <c r="B80" s="1282"/>
      <c r="C80" s="1297"/>
      <c r="I80" s="560"/>
      <c r="Q80" s="570"/>
    </row>
    <row r="81" spans="1:17" ht="14.7" customHeight="1" thickBot="1" x14ac:dyDescent="0.35">
      <c r="B81" s="1302" t="s">
        <v>617</v>
      </c>
      <c r="C81" s="1303"/>
      <c r="D81" s="1303"/>
      <c r="E81" s="1303"/>
      <c r="F81" s="1303"/>
      <c r="G81" s="1303"/>
      <c r="H81" s="1303"/>
      <c r="I81" s="1303"/>
      <c r="J81" s="1303"/>
      <c r="K81" s="1303"/>
      <c r="L81" s="1303"/>
      <c r="Q81" s="570"/>
    </row>
    <row r="82" spans="1:17" ht="14.7" customHeight="1" x14ac:dyDescent="0.3">
      <c r="B82" s="1282" t="s">
        <v>573</v>
      </c>
      <c r="C82" s="1297" t="s">
        <v>618</v>
      </c>
      <c r="I82" s="560"/>
      <c r="Q82" s="570"/>
    </row>
    <row r="83" spans="1:17" ht="14.7" customHeight="1" x14ac:dyDescent="0.3">
      <c r="B83" s="1282" t="s">
        <v>575</v>
      </c>
      <c r="C83" t="s">
        <v>619</v>
      </c>
      <c r="I83" s="560"/>
      <c r="Q83" s="570"/>
    </row>
    <row r="84" spans="1:17" ht="14.7" customHeight="1" x14ac:dyDescent="0.3">
      <c r="B84" s="1282"/>
      <c r="C84" s="1297"/>
      <c r="I84" s="560"/>
      <c r="Q84" s="570"/>
    </row>
    <row r="85" spans="1:17" ht="14.7" customHeight="1" thickBot="1" x14ac:dyDescent="0.35">
      <c r="B85" s="1302" t="s">
        <v>620</v>
      </c>
      <c r="C85" s="1317"/>
      <c r="D85" s="1317"/>
      <c r="E85" s="1317"/>
      <c r="F85" s="1317"/>
      <c r="G85" s="1317"/>
      <c r="H85" s="1317"/>
      <c r="I85" s="1317"/>
      <c r="J85" s="1317"/>
      <c r="K85" s="1317"/>
      <c r="L85" s="1317"/>
      <c r="Q85" s="570"/>
    </row>
    <row r="86" spans="1:17" ht="14.7" customHeight="1" x14ac:dyDescent="0.3">
      <c r="B86" s="1282" t="s">
        <v>573</v>
      </c>
      <c r="C86" s="1297" t="s">
        <v>621</v>
      </c>
      <c r="I86" s="560"/>
      <c r="Q86" s="570"/>
    </row>
    <row r="87" spans="1:17" ht="14.7" customHeight="1" x14ac:dyDescent="0.3">
      <c r="B87" s="1282" t="s">
        <v>575</v>
      </c>
      <c r="C87" t="s">
        <v>622</v>
      </c>
      <c r="I87" s="560"/>
      <c r="Q87" s="570"/>
    </row>
    <row r="88" spans="1:17" ht="14.7" customHeight="1" x14ac:dyDescent="0.3">
      <c r="B88" s="1282"/>
      <c r="C88" s="1297"/>
      <c r="I88" s="560"/>
      <c r="Q88" s="570"/>
    </row>
    <row r="89" spans="1:17" ht="14.7" customHeight="1" thickBot="1" x14ac:dyDescent="0.35">
      <c r="B89" s="1302" t="s">
        <v>623</v>
      </c>
      <c r="C89" s="1303"/>
      <c r="D89" s="1303"/>
      <c r="E89" s="1303"/>
      <c r="F89" s="1303"/>
      <c r="G89" s="1303"/>
      <c r="H89" s="1303"/>
      <c r="I89" s="1303"/>
      <c r="J89" s="1303"/>
      <c r="K89" s="1303"/>
      <c r="L89" s="1303"/>
      <c r="Q89" s="570"/>
    </row>
    <row r="90" spans="1:17" ht="14.7" customHeight="1" x14ac:dyDescent="0.3">
      <c r="B90" s="1282" t="s">
        <v>573</v>
      </c>
      <c r="C90" s="1297" t="s">
        <v>624</v>
      </c>
      <c r="I90" s="560"/>
      <c r="Q90" s="570"/>
    </row>
    <row r="91" spans="1:17" ht="14.7" customHeight="1" x14ac:dyDescent="0.3">
      <c r="B91" s="1282"/>
      <c r="C91" s="1297" t="s">
        <v>625</v>
      </c>
      <c r="I91" s="560"/>
      <c r="Q91" s="570"/>
    </row>
    <row r="92" spans="1:17" ht="14.7" customHeight="1" x14ac:dyDescent="0.3">
      <c r="B92" s="1282" t="s">
        <v>575</v>
      </c>
      <c r="C92" s="1297" t="s">
        <v>626</v>
      </c>
      <c r="I92" s="560"/>
      <c r="Q92" s="570"/>
    </row>
    <row r="93" spans="1:17" ht="14.7" customHeight="1" x14ac:dyDescent="0.3">
      <c r="B93" s="1282"/>
      <c r="C93"/>
      <c r="D93" s="562" t="s">
        <v>627</v>
      </c>
      <c r="I93" s="560"/>
      <c r="Q93" s="570"/>
    </row>
    <row r="94" spans="1:17" ht="14.7" customHeight="1" x14ac:dyDescent="0.3">
      <c r="B94" s="1282"/>
      <c r="C94" s="1297" t="s">
        <v>628</v>
      </c>
      <c r="I94" s="560"/>
      <c r="Q94" s="570"/>
    </row>
    <row r="95" spans="1:17" ht="14.7" customHeight="1" thickBot="1" x14ac:dyDescent="0.35">
      <c r="B95" s="570"/>
      <c r="I95" s="565"/>
      <c r="J95" s="560"/>
      <c r="Q95" s="570"/>
    </row>
    <row r="96" spans="1:17" ht="15" thickBot="1" x14ac:dyDescent="0.35">
      <c r="A96" s="1314" t="s">
        <v>629</v>
      </c>
      <c r="B96" s="1315"/>
      <c r="C96" s="1315"/>
      <c r="D96" s="1315"/>
      <c r="E96" s="1315"/>
      <c r="F96" s="1315"/>
      <c r="G96" s="1315"/>
      <c r="H96" s="1315"/>
      <c r="I96" s="1315"/>
      <c r="J96" s="1315"/>
      <c r="K96" s="1315"/>
      <c r="L96" s="1316"/>
      <c r="M96" s="1295"/>
      <c r="N96" s="1295"/>
      <c r="O96" s="1295"/>
      <c r="P96" s="1295"/>
    </row>
    <row r="97" spans="1:12" ht="30" customHeight="1" x14ac:dyDescent="0.3">
      <c r="A97" s="1304" t="s">
        <v>630</v>
      </c>
      <c r="B97" s="1304"/>
      <c r="C97" s="1304"/>
      <c r="D97" s="1304"/>
      <c r="E97" s="1304"/>
      <c r="F97" s="1304"/>
      <c r="G97" s="1304"/>
      <c r="H97" s="1304"/>
      <c r="I97" s="1304"/>
      <c r="J97" s="1304"/>
      <c r="K97" s="1304"/>
      <c r="L97" s="1304"/>
    </row>
    <row r="98" spans="1:12" ht="14.7" customHeight="1" thickBot="1" x14ac:dyDescent="0.35">
      <c r="B98" s="1302" t="s">
        <v>631</v>
      </c>
      <c r="C98" s="1317"/>
      <c r="D98" s="1317"/>
      <c r="E98" s="1317"/>
      <c r="F98" s="1317"/>
      <c r="G98" s="1317"/>
      <c r="H98" s="1317"/>
      <c r="I98" s="1317"/>
      <c r="J98" s="1317"/>
      <c r="K98" s="1317"/>
      <c r="L98" s="1317"/>
    </row>
    <row r="99" spans="1:12" ht="14.7" customHeight="1" x14ac:dyDescent="0.3">
      <c r="B99" s="722" t="s">
        <v>573</v>
      </c>
      <c r="C99" s="562" t="s">
        <v>632</v>
      </c>
    </row>
    <row r="100" spans="1:12" ht="14.7" customHeight="1" x14ac:dyDescent="0.3">
      <c r="B100" s="1282" t="s">
        <v>575</v>
      </c>
      <c r="C100" s="1297" t="s">
        <v>633</v>
      </c>
      <c r="I100" s="560"/>
    </row>
    <row r="101" spans="1:12" ht="28.8" customHeight="1" x14ac:dyDescent="0.3">
      <c r="B101" s="1282" t="s">
        <v>634</v>
      </c>
      <c r="C101" s="1305" t="s">
        <v>635</v>
      </c>
      <c r="D101" s="1305"/>
      <c r="E101" s="1305"/>
      <c r="F101" s="1305"/>
      <c r="G101" s="1305"/>
      <c r="H101" s="1305"/>
      <c r="I101" s="1305"/>
      <c r="J101" s="1305"/>
      <c r="K101" s="1305"/>
      <c r="L101" s="1305"/>
    </row>
    <row r="102" spans="1:12" ht="14.7" customHeight="1" x14ac:dyDescent="0.3">
      <c r="A102" s="562" t="s">
        <v>2</v>
      </c>
      <c r="B102" s="1282"/>
      <c r="C102" s="1297"/>
      <c r="H102" s="1306"/>
      <c r="I102" s="560"/>
    </row>
    <row r="103" spans="1:12" ht="14.7" customHeight="1" thickBot="1" x14ac:dyDescent="0.35">
      <c r="B103" s="1302" t="s">
        <v>636</v>
      </c>
      <c r="C103" s="1317"/>
      <c r="D103" s="1317"/>
      <c r="E103" s="1317"/>
      <c r="F103" s="1317"/>
      <c r="G103" s="1317"/>
      <c r="H103" s="1317"/>
      <c r="I103" s="1317"/>
      <c r="J103" s="1317"/>
      <c r="K103" s="1317"/>
      <c r="L103" s="1317"/>
    </row>
    <row r="104" spans="1:12" ht="14.7" customHeight="1" x14ac:dyDescent="0.3">
      <c r="B104" s="1282" t="s">
        <v>573</v>
      </c>
      <c r="C104" s="1297" t="s">
        <v>637</v>
      </c>
      <c r="I104" s="560"/>
    </row>
    <row r="105" spans="1:12" ht="14.7" customHeight="1" x14ac:dyDescent="0.3">
      <c r="B105" s="1282" t="s">
        <v>575</v>
      </c>
      <c r="C105" s="1307">
        <v>0.27100000000000002</v>
      </c>
      <c r="I105" s="560"/>
    </row>
    <row r="106" spans="1:12" ht="14.7" customHeight="1" x14ac:dyDescent="0.3">
      <c r="B106" s="1282" t="s">
        <v>634</v>
      </c>
      <c r="C106" s="1307" t="s">
        <v>638</v>
      </c>
      <c r="I106" s="560"/>
    </row>
    <row r="107" spans="1:12" ht="14.7" customHeight="1" x14ac:dyDescent="0.3">
      <c r="B107" s="1282"/>
      <c r="C107" s="1297" t="s">
        <v>639</v>
      </c>
      <c r="I107" s="560"/>
    </row>
    <row r="108" spans="1:12" ht="14.7" customHeight="1" x14ac:dyDescent="0.3">
      <c r="B108" s="1282"/>
      <c r="C108" s="1297"/>
      <c r="I108" s="560"/>
    </row>
    <row r="109" spans="1:12" ht="14.7" customHeight="1" thickBot="1" x14ac:dyDescent="0.35">
      <c r="B109" s="1302" t="s">
        <v>640</v>
      </c>
      <c r="C109" s="1317"/>
      <c r="D109" s="1317"/>
      <c r="E109" s="1317"/>
      <c r="F109" s="1317"/>
      <c r="G109" s="1317"/>
      <c r="H109" s="1317"/>
      <c r="I109" s="1317"/>
      <c r="J109" s="1317"/>
      <c r="K109" s="1317"/>
      <c r="L109" s="1317"/>
    </row>
    <row r="110" spans="1:12" ht="14.7" customHeight="1" x14ac:dyDescent="0.3">
      <c r="B110" s="1282" t="s">
        <v>573</v>
      </c>
      <c r="C110" s="1297" t="s">
        <v>609</v>
      </c>
      <c r="I110" s="560"/>
    </row>
    <row r="111" spans="1:12" ht="14.7" customHeight="1" x14ac:dyDescent="0.3">
      <c r="B111" s="1282" t="s">
        <v>575</v>
      </c>
      <c r="C111" s="1297" t="s">
        <v>641</v>
      </c>
      <c r="I111" s="560"/>
    </row>
    <row r="112" spans="1:12" ht="14.7" customHeight="1" x14ac:dyDescent="0.3">
      <c r="B112" s="722"/>
    </row>
    <row r="113" spans="1:17" ht="14.7" customHeight="1" thickBot="1" x14ac:dyDescent="0.35">
      <c r="B113" s="1302" t="s">
        <v>642</v>
      </c>
      <c r="C113" s="1317"/>
      <c r="D113" s="1317"/>
      <c r="E113" s="1317"/>
      <c r="F113" s="1317"/>
      <c r="G113" s="1317"/>
      <c r="H113" s="1317"/>
      <c r="I113" s="1317"/>
      <c r="J113" s="1317"/>
      <c r="K113" s="1317"/>
      <c r="L113" s="1317"/>
    </row>
    <row r="114" spans="1:17" ht="14.7" customHeight="1" x14ac:dyDescent="0.3">
      <c r="B114" s="1282" t="s">
        <v>573</v>
      </c>
      <c r="C114" s="1297" t="s">
        <v>643</v>
      </c>
      <c r="I114" s="560"/>
    </row>
    <row r="115" spans="1:17" ht="14.7" customHeight="1" x14ac:dyDescent="0.3">
      <c r="B115" s="1282" t="s">
        <v>575</v>
      </c>
      <c r="C115" t="s">
        <v>644</v>
      </c>
      <c r="I115" s="560"/>
    </row>
    <row r="116" spans="1:17" ht="14.7" customHeight="1" x14ac:dyDescent="0.3">
      <c r="B116" s="722"/>
    </row>
    <row r="117" spans="1:17" ht="14.7" customHeight="1" thickBot="1" x14ac:dyDescent="0.35">
      <c r="B117" s="1302" t="s">
        <v>645</v>
      </c>
      <c r="C117" s="1317"/>
      <c r="D117" s="1317"/>
      <c r="E117" s="1317"/>
      <c r="F117" s="1317"/>
      <c r="G117" s="1317"/>
      <c r="H117" s="1317"/>
      <c r="I117" s="1317"/>
      <c r="J117" s="1317"/>
      <c r="K117" s="1317"/>
      <c r="L117" s="1317"/>
    </row>
    <row r="118" spans="1:17" ht="14.7" customHeight="1" x14ac:dyDescent="0.3">
      <c r="B118" s="1282" t="s">
        <v>573</v>
      </c>
      <c r="C118" s="1297" t="s">
        <v>618</v>
      </c>
      <c r="I118" s="560"/>
    </row>
    <row r="119" spans="1:17" ht="14.7" customHeight="1" x14ac:dyDescent="0.3">
      <c r="B119" s="1282" t="s">
        <v>575</v>
      </c>
      <c r="C119" t="s">
        <v>646</v>
      </c>
      <c r="I119" s="560"/>
    </row>
    <row r="120" spans="1:17" ht="14.7" customHeight="1" x14ac:dyDescent="0.3">
      <c r="B120" s="1282"/>
      <c r="C120" s="1297"/>
      <c r="I120" s="560"/>
    </row>
    <row r="121" spans="1:17" ht="14.7" customHeight="1" thickBot="1" x14ac:dyDescent="0.35">
      <c r="B121" s="1302" t="s">
        <v>647</v>
      </c>
      <c r="C121" s="1317"/>
      <c r="D121" s="1317"/>
      <c r="E121" s="1317"/>
      <c r="F121" s="1317"/>
      <c r="G121" s="1317"/>
      <c r="H121" s="1317"/>
      <c r="I121" s="1317"/>
      <c r="J121" s="1317"/>
      <c r="K121" s="1317"/>
      <c r="L121" s="1317"/>
    </row>
    <row r="122" spans="1:17" ht="14.7" customHeight="1" x14ac:dyDescent="0.3">
      <c r="B122" s="1282" t="s">
        <v>573</v>
      </c>
      <c r="C122" s="1297" t="s">
        <v>621</v>
      </c>
      <c r="I122" s="560"/>
    </row>
    <row r="123" spans="1:17" ht="14.7" customHeight="1" x14ac:dyDescent="0.3">
      <c r="B123" s="1282" t="s">
        <v>575</v>
      </c>
      <c r="C123" t="s">
        <v>648</v>
      </c>
      <c r="I123" s="560"/>
    </row>
    <row r="124" spans="1:17" ht="14.7" customHeight="1" thickBot="1" x14ac:dyDescent="0.35">
      <c r="B124" s="1282"/>
      <c r="C124" s="1297"/>
      <c r="I124" s="560"/>
      <c r="Q124" s="570" t="s">
        <v>2</v>
      </c>
    </row>
    <row r="125" spans="1:17" ht="15" thickBot="1" x14ac:dyDescent="0.35">
      <c r="A125" s="1314" t="s">
        <v>649</v>
      </c>
      <c r="B125" s="1315"/>
      <c r="C125" s="1315"/>
      <c r="D125" s="1315"/>
      <c r="E125" s="1315"/>
      <c r="F125" s="1315"/>
      <c r="G125" s="1315"/>
      <c r="H125" s="1315"/>
      <c r="I125" s="1315"/>
      <c r="J125" s="1315"/>
      <c r="K125" s="1315"/>
      <c r="L125" s="1316"/>
      <c r="M125" s="1295"/>
      <c r="N125" s="1295"/>
      <c r="O125" s="1295"/>
      <c r="P125" s="1295"/>
    </row>
    <row r="126" spans="1:17" ht="28.8" customHeight="1" x14ac:dyDescent="0.3">
      <c r="B126" s="722" t="s">
        <v>578</v>
      </c>
      <c r="C126" s="1304" t="s">
        <v>650</v>
      </c>
      <c r="D126" s="1304"/>
      <c r="E126" s="1304"/>
      <c r="F126" s="1304"/>
      <c r="G126" s="1304"/>
      <c r="H126" s="1304"/>
      <c r="I126" s="1304"/>
      <c r="J126" s="1304"/>
      <c r="K126" s="1304"/>
      <c r="L126" s="1304"/>
    </row>
    <row r="127" spans="1:17" ht="14.7" customHeight="1" x14ac:dyDescent="0.3">
      <c r="B127" s="1282" t="s">
        <v>573</v>
      </c>
      <c r="C127" s="1297" t="s">
        <v>651</v>
      </c>
      <c r="I127" s="560"/>
      <c r="Q127" s="570" t="s">
        <v>2</v>
      </c>
    </row>
    <row r="128" spans="1:17" ht="14.7" customHeight="1" x14ac:dyDescent="0.3">
      <c r="B128" s="722" t="s">
        <v>575</v>
      </c>
      <c r="I128" s="565"/>
      <c r="J128" s="560"/>
      <c r="Q128" s="570"/>
    </row>
    <row r="129" spans="1:17" ht="14.7" customHeight="1" x14ac:dyDescent="0.3">
      <c r="B129" s="722"/>
      <c r="I129" s="565"/>
      <c r="J129" s="560"/>
      <c r="Q129" s="570"/>
    </row>
    <row r="130" spans="1:17" ht="14.7" customHeight="1" x14ac:dyDescent="0.3">
      <c r="B130" s="722"/>
      <c r="I130" s="565"/>
      <c r="J130" s="560"/>
      <c r="Q130" s="570"/>
    </row>
    <row r="131" spans="1:17" ht="14.7" customHeight="1" x14ac:dyDescent="0.3">
      <c r="B131" s="722"/>
      <c r="I131" s="565"/>
      <c r="J131" s="560"/>
      <c r="Q131" s="570"/>
    </row>
    <row r="132" spans="1:17" ht="14.7" customHeight="1" thickBot="1" x14ac:dyDescent="0.35">
      <c r="B132" s="722"/>
      <c r="I132" s="565"/>
      <c r="J132" s="560"/>
      <c r="Q132" s="570"/>
    </row>
    <row r="133" spans="1:17" ht="15" thickBot="1" x14ac:dyDescent="0.35">
      <c r="A133" s="1314" t="s">
        <v>652</v>
      </c>
      <c r="B133" s="1315"/>
      <c r="C133" s="1315"/>
      <c r="D133" s="1315"/>
      <c r="E133" s="1315"/>
      <c r="F133" s="1315"/>
      <c r="G133" s="1315"/>
      <c r="H133" s="1315"/>
      <c r="I133" s="1315"/>
      <c r="J133" s="1315"/>
      <c r="K133" s="1315"/>
      <c r="L133" s="1316"/>
      <c r="M133" s="1295"/>
      <c r="N133" s="1295"/>
      <c r="O133" s="1295"/>
      <c r="P133" s="1295"/>
    </row>
    <row r="134" spans="1:17" ht="28.8" customHeight="1" x14ac:dyDescent="0.3">
      <c r="B134" s="722" t="s">
        <v>570</v>
      </c>
      <c r="C134" s="1304" t="s">
        <v>653</v>
      </c>
      <c r="D134" s="1304"/>
      <c r="E134" s="1304"/>
      <c r="F134" s="1304"/>
      <c r="G134" s="1304"/>
      <c r="H134" s="1304"/>
      <c r="I134" s="1304"/>
      <c r="J134" s="1304"/>
      <c r="K134" s="1304"/>
      <c r="L134" s="1304"/>
    </row>
    <row r="135" spans="1:17" ht="14.7" customHeight="1" thickBot="1" x14ac:dyDescent="0.35">
      <c r="B135" s="570"/>
      <c r="I135" s="565"/>
      <c r="J135" s="560"/>
      <c r="Q135" s="570"/>
    </row>
    <row r="136" spans="1:17" ht="15" thickBot="1" x14ac:dyDescent="0.35">
      <c r="A136" s="1314" t="s">
        <v>155</v>
      </c>
      <c r="B136" s="1315"/>
      <c r="C136" s="1315"/>
      <c r="D136" s="1315"/>
      <c r="E136" s="1315"/>
      <c r="F136" s="1315"/>
      <c r="G136" s="1315"/>
      <c r="H136" s="1315"/>
      <c r="I136" s="1315"/>
      <c r="J136" s="1315"/>
      <c r="K136" s="1315"/>
      <c r="L136" s="1316"/>
      <c r="M136" s="1295"/>
      <c r="N136" s="1295"/>
      <c r="O136" s="1295"/>
      <c r="P136" s="1295"/>
    </row>
    <row r="137" spans="1:17" ht="29.4" customHeight="1" x14ac:dyDescent="0.3">
      <c r="B137" s="722" t="s">
        <v>573</v>
      </c>
      <c r="C137" s="1304" t="s">
        <v>654</v>
      </c>
      <c r="D137" s="1304"/>
      <c r="E137" s="1304"/>
      <c r="F137" s="1304"/>
      <c r="G137" s="1304"/>
      <c r="H137" s="1304"/>
      <c r="I137" s="1304"/>
      <c r="J137" s="1304"/>
      <c r="K137" s="1304"/>
      <c r="L137" s="1304"/>
    </row>
    <row r="138" spans="1:17" ht="14.7" customHeight="1" x14ac:dyDescent="0.3">
      <c r="B138" s="1282" t="s">
        <v>575</v>
      </c>
      <c r="C138" s="1297" t="s">
        <v>655</v>
      </c>
      <c r="I138" s="560"/>
      <c r="Q138" s="570" t="s">
        <v>2</v>
      </c>
    </row>
    <row r="139" spans="1:17" ht="14.7" customHeight="1" thickBot="1" x14ac:dyDescent="0.35">
      <c r="B139" s="570"/>
      <c r="I139" s="565"/>
      <c r="J139" s="560"/>
      <c r="Q139" s="570"/>
    </row>
    <row r="140" spans="1:17" ht="15" thickBot="1" x14ac:dyDescent="0.35">
      <c r="A140" s="1314" t="s">
        <v>326</v>
      </c>
      <c r="B140" s="1315"/>
      <c r="C140" s="1315"/>
      <c r="D140" s="1315"/>
      <c r="E140" s="1315"/>
      <c r="F140" s="1315"/>
      <c r="G140" s="1315"/>
      <c r="H140" s="1315"/>
      <c r="I140" s="1315"/>
      <c r="J140" s="1315"/>
      <c r="K140" s="1315"/>
      <c r="L140" s="1316"/>
      <c r="M140" s="1295"/>
      <c r="N140" s="1295"/>
      <c r="O140" s="1295"/>
      <c r="P140" s="1295"/>
    </row>
    <row r="141" spans="1:17" ht="14.7" customHeight="1" x14ac:dyDescent="0.3">
      <c r="B141" s="722" t="s">
        <v>573</v>
      </c>
      <c r="C141" s="562" t="s">
        <v>656</v>
      </c>
    </row>
    <row r="142" spans="1:17" ht="14.7" customHeight="1" x14ac:dyDescent="0.3">
      <c r="B142" s="1282" t="s">
        <v>575</v>
      </c>
      <c r="C142" s="1308" t="s">
        <v>655</v>
      </c>
      <c r="I142" s="560"/>
      <c r="Q142" s="570" t="s">
        <v>2</v>
      </c>
    </row>
    <row r="143" spans="1:17" ht="14.7" customHeight="1" thickBot="1" x14ac:dyDescent="0.35">
      <c r="B143" s="570"/>
      <c r="I143" s="565"/>
      <c r="J143" s="560"/>
      <c r="Q143" s="570"/>
    </row>
    <row r="144" spans="1:17" ht="15" thickBot="1" x14ac:dyDescent="0.35">
      <c r="A144" s="1314" t="s">
        <v>156</v>
      </c>
      <c r="B144" s="1315"/>
      <c r="C144" s="1315"/>
      <c r="D144" s="1315"/>
      <c r="E144" s="1315"/>
      <c r="F144" s="1315"/>
      <c r="G144" s="1315"/>
      <c r="H144" s="1315"/>
      <c r="I144" s="1315"/>
      <c r="J144" s="1315"/>
      <c r="K144" s="1315"/>
      <c r="L144" s="1316"/>
      <c r="M144" s="1295"/>
      <c r="N144" s="1295"/>
      <c r="O144" s="1295"/>
      <c r="P144" s="1295"/>
    </row>
    <row r="145" spans="1:17" ht="14.7" customHeight="1" x14ac:dyDescent="0.3">
      <c r="B145" s="722" t="s">
        <v>573</v>
      </c>
      <c r="C145" s="562" t="s">
        <v>657</v>
      </c>
    </row>
    <row r="146" spans="1:17" ht="14.7" customHeight="1" x14ac:dyDescent="0.3">
      <c r="B146" s="1282" t="s">
        <v>575</v>
      </c>
      <c r="C146" s="570">
        <v>605325</v>
      </c>
      <c r="I146" s="560"/>
      <c r="Q146" s="570" t="s">
        <v>2</v>
      </c>
    </row>
    <row r="147" spans="1:17" ht="14.7" customHeight="1" thickBot="1" x14ac:dyDescent="0.35">
      <c r="B147" s="1282"/>
      <c r="C147" s="1308"/>
      <c r="I147" s="560"/>
      <c r="Q147" s="570"/>
    </row>
    <row r="148" spans="1:17" ht="15" thickBot="1" x14ac:dyDescent="0.35">
      <c r="A148" s="1314" t="s">
        <v>552</v>
      </c>
      <c r="B148" s="1315"/>
      <c r="C148" s="1315"/>
      <c r="D148" s="1315"/>
      <c r="E148" s="1315"/>
      <c r="F148" s="1315"/>
      <c r="G148" s="1315"/>
      <c r="H148" s="1315"/>
      <c r="I148" s="1315"/>
      <c r="J148" s="1315"/>
      <c r="K148" s="1315"/>
      <c r="L148" s="1316"/>
      <c r="M148" s="1295"/>
      <c r="N148" s="1295"/>
      <c r="O148" s="1295"/>
      <c r="P148" s="1295"/>
    </row>
    <row r="149" spans="1:17" ht="14.7" customHeight="1" x14ac:dyDescent="0.3">
      <c r="B149" s="722" t="s">
        <v>573</v>
      </c>
      <c r="C149" s="562" t="s">
        <v>658</v>
      </c>
    </row>
    <row r="150" spans="1:17" ht="14.7" customHeight="1" x14ac:dyDescent="0.3">
      <c r="B150" s="1282" t="s">
        <v>575</v>
      </c>
      <c r="C150" s="1297">
        <v>46203</v>
      </c>
      <c r="I150" s="560"/>
      <c r="Q150" s="570" t="s">
        <v>2</v>
      </c>
    </row>
    <row r="151" spans="1:17" ht="14.7" customHeight="1" thickBot="1" x14ac:dyDescent="0.35">
      <c r="B151" s="1282"/>
      <c r="C151" s="1308"/>
      <c r="I151" s="560"/>
      <c r="Q151" s="570"/>
    </row>
    <row r="152" spans="1:17" ht="15" thickBot="1" x14ac:dyDescent="0.35">
      <c r="A152" s="1314" t="s">
        <v>255</v>
      </c>
      <c r="B152" s="1315"/>
      <c r="C152" s="1315"/>
      <c r="D152" s="1315"/>
      <c r="E152" s="1315"/>
      <c r="F152" s="1315"/>
      <c r="G152" s="1315"/>
      <c r="H152" s="1315"/>
      <c r="I152" s="1315"/>
      <c r="J152" s="1315"/>
      <c r="K152" s="1315"/>
      <c r="L152" s="1316"/>
      <c r="M152" s="1295"/>
      <c r="N152" s="1295"/>
      <c r="O152" s="1295"/>
      <c r="P152" s="1295"/>
    </row>
    <row r="153" spans="1:17" ht="29.4" customHeight="1" x14ac:dyDescent="0.3">
      <c r="B153" s="722" t="s">
        <v>573</v>
      </c>
      <c r="C153" s="1304" t="s">
        <v>659</v>
      </c>
      <c r="D153" s="1304"/>
      <c r="E153" s="1304"/>
      <c r="F153" s="1304"/>
      <c r="G153" s="1304"/>
      <c r="H153" s="1304"/>
      <c r="I153" s="1304"/>
      <c r="J153" s="1304"/>
      <c r="K153" s="1304"/>
      <c r="L153" s="1304"/>
    </row>
    <row r="154" spans="1:17" ht="14.7" customHeight="1" x14ac:dyDescent="0.3">
      <c r="B154" s="1282" t="s">
        <v>575</v>
      </c>
      <c r="C154" s="570" t="s">
        <v>660</v>
      </c>
      <c r="I154" s="560"/>
      <c r="Q154" s="570" t="s">
        <v>2</v>
      </c>
    </row>
    <row r="155" spans="1:17" ht="14.7" customHeight="1" x14ac:dyDescent="0.3">
      <c r="B155" s="1282"/>
      <c r="C155" s="570" t="s">
        <v>661</v>
      </c>
      <c r="I155" s="560"/>
      <c r="Q155" s="570"/>
    </row>
    <row r="156" spans="1:17" ht="14.7" customHeight="1" thickBot="1" x14ac:dyDescent="0.35">
      <c r="B156" s="1282"/>
      <c r="C156" s="1308"/>
      <c r="I156" s="560"/>
      <c r="Q156" s="570"/>
    </row>
    <row r="157" spans="1:17" ht="15" thickBot="1" x14ac:dyDescent="0.35">
      <c r="A157" s="1314" t="s">
        <v>326</v>
      </c>
      <c r="B157" s="1315"/>
      <c r="C157" s="1315"/>
      <c r="D157" s="1315"/>
      <c r="E157" s="1315"/>
      <c r="F157" s="1315"/>
      <c r="G157" s="1315"/>
      <c r="H157" s="1315"/>
      <c r="I157" s="1315"/>
      <c r="J157" s="1315"/>
      <c r="K157" s="1315"/>
      <c r="L157" s="1316"/>
      <c r="M157" s="1295"/>
      <c r="N157" s="1295"/>
      <c r="O157" s="1295"/>
      <c r="P157" s="1295"/>
    </row>
    <row r="158" spans="1:17" ht="14.7" customHeight="1" x14ac:dyDescent="0.3">
      <c r="B158" s="722" t="s">
        <v>573</v>
      </c>
      <c r="C158" s="562" t="s">
        <v>662</v>
      </c>
    </row>
    <row r="159" spans="1:17" ht="14.7" customHeight="1" x14ac:dyDescent="0.3">
      <c r="B159" s="1282" t="s">
        <v>575</v>
      </c>
      <c r="C159" s="1308" t="s">
        <v>663</v>
      </c>
      <c r="I159" s="560"/>
      <c r="Q159" s="570" t="s">
        <v>2</v>
      </c>
    </row>
    <row r="160" spans="1:17" ht="14.7" customHeight="1" thickBot="1" x14ac:dyDescent="0.35">
      <c r="B160" s="1282"/>
      <c r="C160" s="1308"/>
      <c r="I160" s="560"/>
      <c r="Q160" s="570"/>
    </row>
    <row r="161" spans="1:17" ht="15" thickBot="1" x14ac:dyDescent="0.35">
      <c r="A161" s="1314" t="s">
        <v>156</v>
      </c>
      <c r="B161" s="1315"/>
      <c r="C161" s="1315"/>
      <c r="D161" s="1315"/>
      <c r="E161" s="1315"/>
      <c r="F161" s="1315"/>
      <c r="G161" s="1315"/>
      <c r="H161" s="1315"/>
      <c r="I161" s="1315"/>
      <c r="J161" s="1315"/>
      <c r="K161" s="1315"/>
      <c r="L161" s="1316"/>
      <c r="M161" s="1295"/>
      <c r="N161" s="1295"/>
      <c r="O161" s="1295"/>
      <c r="P161" s="1295"/>
    </row>
    <row r="162" spans="1:17" ht="14.7" customHeight="1" x14ac:dyDescent="0.3">
      <c r="B162" s="722" t="s">
        <v>573</v>
      </c>
      <c r="C162" s="562" t="s">
        <v>664</v>
      </c>
    </row>
    <row r="163" spans="1:17" ht="14.7" customHeight="1" x14ac:dyDescent="0.3">
      <c r="B163" s="1282" t="s">
        <v>575</v>
      </c>
      <c r="C163" s="570">
        <v>902535</v>
      </c>
      <c r="I163" s="560"/>
      <c r="Q163" s="570" t="s">
        <v>2</v>
      </c>
    </row>
    <row r="164" spans="1:17" ht="14.7" customHeight="1" thickBot="1" x14ac:dyDescent="0.35">
      <c r="B164" s="1282"/>
      <c r="C164" s="1308"/>
      <c r="I164" s="560"/>
      <c r="Q164" s="570"/>
    </row>
    <row r="165" spans="1:17" ht="15" thickBot="1" x14ac:dyDescent="0.35">
      <c r="A165" s="1314" t="s">
        <v>552</v>
      </c>
      <c r="B165" s="1315"/>
      <c r="C165" s="1315"/>
      <c r="D165" s="1315"/>
      <c r="E165" s="1315"/>
      <c r="F165" s="1315"/>
      <c r="G165" s="1315"/>
      <c r="H165" s="1315"/>
      <c r="I165" s="1315"/>
      <c r="J165" s="1315"/>
      <c r="K165" s="1315"/>
      <c r="L165" s="1316"/>
      <c r="M165" s="1295"/>
      <c r="N165" s="1295"/>
      <c r="O165" s="1295"/>
      <c r="P165" s="1295"/>
    </row>
    <row r="166" spans="1:17" ht="14.7" customHeight="1" x14ac:dyDescent="0.3">
      <c r="B166" s="722" t="s">
        <v>573</v>
      </c>
      <c r="C166" s="562" t="s">
        <v>665</v>
      </c>
    </row>
    <row r="167" spans="1:17" ht="14.7" customHeight="1" x14ac:dyDescent="0.3">
      <c r="B167" s="1282" t="s">
        <v>575</v>
      </c>
      <c r="C167" s="1297">
        <v>46204</v>
      </c>
      <c r="I167" s="560"/>
      <c r="Q167" s="570" t="s">
        <v>2</v>
      </c>
    </row>
    <row r="168" spans="1:17" ht="14.7" customHeight="1" thickBot="1" x14ac:dyDescent="0.35">
      <c r="B168" s="1282"/>
      <c r="C168" s="1308"/>
      <c r="I168" s="560"/>
      <c r="Q168" s="570"/>
    </row>
    <row r="169" spans="1:17" ht="15" thickBot="1" x14ac:dyDescent="0.35">
      <c r="A169" s="1314" t="s">
        <v>666</v>
      </c>
      <c r="B169" s="1315"/>
      <c r="C169" s="1315"/>
      <c r="D169" s="1315"/>
      <c r="E169" s="1315"/>
      <c r="F169" s="1315"/>
      <c r="G169" s="1315"/>
      <c r="H169" s="1315"/>
      <c r="I169" s="1315"/>
      <c r="J169" s="1315"/>
      <c r="K169" s="1315"/>
      <c r="L169" s="1316"/>
      <c r="M169" s="1295"/>
      <c r="N169" s="1295"/>
      <c r="O169" s="1295"/>
      <c r="P169" s="1295"/>
    </row>
    <row r="170" spans="1:17" ht="29.4" customHeight="1" x14ac:dyDescent="0.3">
      <c r="B170" s="722" t="s">
        <v>573</v>
      </c>
      <c r="C170" s="1304" t="s">
        <v>667</v>
      </c>
      <c r="D170" s="1304"/>
      <c r="E170" s="1304"/>
      <c r="F170" s="1304"/>
      <c r="G170" s="1304"/>
      <c r="H170" s="1304"/>
      <c r="I170" s="1304"/>
      <c r="J170" s="1304"/>
      <c r="K170" s="1304"/>
      <c r="L170" s="1304"/>
    </row>
    <row r="171" spans="1:17" ht="14.7" customHeight="1" x14ac:dyDescent="0.3">
      <c r="B171" s="1282" t="s">
        <v>575</v>
      </c>
      <c r="C171" s="1297" t="s">
        <v>668</v>
      </c>
      <c r="H171" s="1299"/>
      <c r="I171" s="560"/>
      <c r="Q171" s="570" t="s">
        <v>2</v>
      </c>
    </row>
    <row r="172" spans="1:17" ht="14.7" customHeight="1" thickBot="1" x14ac:dyDescent="0.35">
      <c r="B172" s="1282"/>
      <c r="C172" s="1308"/>
      <c r="H172" s="1299"/>
      <c r="I172" s="560"/>
      <c r="Q172" s="570"/>
    </row>
    <row r="173" spans="1:17" ht="14.7" customHeight="1" thickBot="1" x14ac:dyDescent="0.35">
      <c r="A173" s="1314" t="s">
        <v>669</v>
      </c>
      <c r="B173" s="1315"/>
      <c r="C173" s="1315"/>
      <c r="D173" s="1315"/>
      <c r="E173" s="1315"/>
      <c r="F173" s="1315"/>
      <c r="G173" s="1315"/>
      <c r="H173" s="1315"/>
      <c r="I173" s="1315"/>
      <c r="J173" s="1315"/>
      <c r="K173" s="1315"/>
      <c r="L173" s="1316"/>
      <c r="Q173" s="570"/>
    </row>
    <row r="174" spans="1:17" ht="14.7" customHeight="1" x14ac:dyDescent="0.3">
      <c r="B174" s="722" t="s">
        <v>573</v>
      </c>
      <c r="C174" s="1304" t="s">
        <v>670</v>
      </c>
      <c r="D174" s="1304"/>
      <c r="E174" s="1304"/>
      <c r="F174" s="1304"/>
      <c r="G174" s="1304"/>
      <c r="H174" s="1304"/>
      <c r="I174" s="1304"/>
      <c r="J174" s="1304"/>
      <c r="K174" s="1304"/>
      <c r="L174" s="1304"/>
      <c r="Q174" s="570"/>
    </row>
    <row r="175" spans="1:17" ht="14.7" customHeight="1" x14ac:dyDescent="0.3">
      <c r="B175" s="1282" t="s">
        <v>575</v>
      </c>
      <c r="C175" s="570" t="s">
        <v>671</v>
      </c>
      <c r="I175" s="560"/>
      <c r="Q175" s="570"/>
    </row>
    <row r="176" spans="1:17" ht="14.7" customHeight="1" thickBot="1" x14ac:dyDescent="0.35">
      <c r="B176" s="1282"/>
      <c r="C176" s="1308"/>
      <c r="I176" s="560"/>
      <c r="Q176" s="570"/>
    </row>
    <row r="177" spans="1:17" ht="14.7" customHeight="1" thickBot="1" x14ac:dyDescent="0.35">
      <c r="A177" s="1314" t="s">
        <v>326</v>
      </c>
      <c r="B177" s="1315"/>
      <c r="C177" s="1315"/>
      <c r="D177" s="1315"/>
      <c r="E177" s="1315"/>
      <c r="F177" s="1315"/>
      <c r="G177" s="1315"/>
      <c r="H177" s="1315"/>
      <c r="I177" s="1315"/>
      <c r="J177" s="1315"/>
      <c r="K177" s="1315"/>
      <c r="L177" s="1316"/>
      <c r="Q177" s="570"/>
    </row>
    <row r="178" spans="1:17" ht="14.7" customHeight="1" x14ac:dyDescent="0.3">
      <c r="B178" s="722" t="s">
        <v>573</v>
      </c>
      <c r="C178" s="562" t="s">
        <v>672</v>
      </c>
      <c r="Q178" s="570"/>
    </row>
    <row r="179" spans="1:17" ht="14.7" customHeight="1" x14ac:dyDescent="0.3">
      <c r="B179" s="1282" t="s">
        <v>575</v>
      </c>
      <c r="C179" s="1308" t="s">
        <v>671</v>
      </c>
      <c r="I179" s="560"/>
      <c r="Q179" s="570"/>
    </row>
    <row r="180" spans="1:17" ht="14.7" customHeight="1" thickBot="1" x14ac:dyDescent="0.35">
      <c r="B180" s="1282"/>
      <c r="C180" s="1308"/>
      <c r="I180" s="560"/>
      <c r="Q180" s="570"/>
    </row>
    <row r="181" spans="1:17" ht="14.7" customHeight="1" thickBot="1" x14ac:dyDescent="0.35">
      <c r="A181" s="1314" t="s">
        <v>552</v>
      </c>
      <c r="B181" s="1315"/>
      <c r="C181" s="1315"/>
      <c r="D181" s="1315"/>
      <c r="E181" s="1315"/>
      <c r="F181" s="1315"/>
      <c r="G181" s="1315"/>
      <c r="H181" s="1315"/>
      <c r="I181" s="1315"/>
      <c r="J181" s="1315"/>
      <c r="K181" s="1315"/>
      <c r="L181" s="1316"/>
      <c r="Q181" s="570"/>
    </row>
    <row r="182" spans="1:17" ht="14.7" customHeight="1" x14ac:dyDescent="0.3">
      <c r="B182" s="722" t="s">
        <v>573</v>
      </c>
      <c r="C182" s="562" t="s">
        <v>673</v>
      </c>
      <c r="Q182" s="570"/>
    </row>
    <row r="183" spans="1:17" ht="14.7" customHeight="1" x14ac:dyDescent="0.3">
      <c r="B183" s="1282" t="s">
        <v>575</v>
      </c>
      <c r="C183" s="1297">
        <v>46206</v>
      </c>
      <c r="I183" s="560"/>
      <c r="Q183" s="570"/>
    </row>
    <row r="184" spans="1:17" ht="14.7" customHeight="1" x14ac:dyDescent="0.3">
      <c r="B184" s="1282"/>
      <c r="C184" s="1308"/>
      <c r="I184" s="560"/>
      <c r="Q184" s="570"/>
    </row>
    <row r="185" spans="1:17" ht="14.7" customHeight="1" x14ac:dyDescent="0.3">
      <c r="B185" s="1282"/>
      <c r="C185" s="1308"/>
      <c r="I185" s="560"/>
      <c r="Q185" s="570"/>
    </row>
  </sheetData>
  <mergeCells count="58">
    <mergeCell ref="A173:L173"/>
    <mergeCell ref="C174:L174"/>
    <mergeCell ref="A177:L177"/>
    <mergeCell ref="A181:L181"/>
    <mergeCell ref="C153:L153"/>
    <mergeCell ref="A157:L157"/>
    <mergeCell ref="A161:L161"/>
    <mergeCell ref="A165:L165"/>
    <mergeCell ref="A169:L169"/>
    <mergeCell ref="C170:L170"/>
    <mergeCell ref="A136:L136"/>
    <mergeCell ref="C137:L137"/>
    <mergeCell ref="A140:L140"/>
    <mergeCell ref="A144:L144"/>
    <mergeCell ref="A148:L148"/>
    <mergeCell ref="A152:L152"/>
    <mergeCell ref="B117:L117"/>
    <mergeCell ref="B121:L121"/>
    <mergeCell ref="A125:L125"/>
    <mergeCell ref="C126:L126"/>
    <mergeCell ref="A133:L133"/>
    <mergeCell ref="C134:L134"/>
    <mergeCell ref="A97:L97"/>
    <mergeCell ref="B98:L98"/>
    <mergeCell ref="C101:L101"/>
    <mergeCell ref="B103:L103"/>
    <mergeCell ref="B109:L109"/>
    <mergeCell ref="B113:L113"/>
    <mergeCell ref="B73:L73"/>
    <mergeCell ref="B77:L77"/>
    <mergeCell ref="B81:L81"/>
    <mergeCell ref="B85:L85"/>
    <mergeCell ref="B89:L89"/>
    <mergeCell ref="A96:L96"/>
    <mergeCell ref="A45:L45"/>
    <mergeCell ref="A56:L56"/>
    <mergeCell ref="A60:L60"/>
    <mergeCell ref="B61:L61"/>
    <mergeCell ref="B65:L65"/>
    <mergeCell ref="B69:L69"/>
    <mergeCell ref="A22:L22"/>
    <mergeCell ref="A26:L26"/>
    <mergeCell ref="C28:L28"/>
    <mergeCell ref="A32:L32"/>
    <mergeCell ref="A36:L36"/>
    <mergeCell ref="A39:L39"/>
    <mergeCell ref="B11:F11"/>
    <mergeCell ref="B13:D13"/>
    <mergeCell ref="B14:D14"/>
    <mergeCell ref="A16:L16"/>
    <mergeCell ref="M16:P16"/>
    <mergeCell ref="A17:L17"/>
    <mergeCell ref="A1:H1"/>
    <mergeCell ref="I1:L1"/>
    <mergeCell ref="A2:L2"/>
    <mergeCell ref="A3:L3"/>
    <mergeCell ref="B5:L5"/>
    <mergeCell ref="B7:L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6EADC-F6AF-4958-80B0-BEE635073FF2}">
  <dimension ref="A1:Q92"/>
  <sheetViews>
    <sheetView showGridLines="0" zoomScaleNormal="100" zoomScaleSheetLayoutView="100" zoomScalePageLayoutView="50" workbookViewId="0">
      <selection activeCell="F15" sqref="F15"/>
    </sheetView>
  </sheetViews>
  <sheetFormatPr defaultColWidth="8.88671875" defaultRowHeight="14.4" x14ac:dyDescent="0.3"/>
  <cols>
    <col min="1" max="1" width="3.44140625" style="682" customWidth="1"/>
    <col min="2" max="11" width="8.88671875" style="682"/>
    <col min="12" max="12" width="13" style="682" customWidth="1"/>
    <col min="13" max="26" width="8.88671875" style="682"/>
    <col min="27" max="27" width="5.6640625" style="682" customWidth="1"/>
    <col min="28" max="16384" width="8.88671875" style="682"/>
  </cols>
  <sheetData>
    <row r="1" spans="1:16" ht="16.2" thickBot="1" x14ac:dyDescent="0.35">
      <c r="A1" s="831" t="s">
        <v>386</v>
      </c>
      <c r="B1" s="832"/>
      <c r="C1" s="832"/>
      <c r="D1" s="832"/>
      <c r="E1" s="832"/>
      <c r="F1" s="832"/>
      <c r="G1" s="832"/>
      <c r="H1" s="832"/>
      <c r="I1" s="833" t="s">
        <v>387</v>
      </c>
      <c r="J1" s="833"/>
      <c r="K1" s="833"/>
      <c r="L1" s="834"/>
    </row>
    <row r="2" spans="1:16" x14ac:dyDescent="0.3">
      <c r="A2" s="862" t="str">
        <f>Directions!A2</f>
        <v>DT2220     07/2022</v>
      </c>
      <c r="B2" s="862"/>
      <c r="C2" s="862"/>
      <c r="D2" s="862"/>
      <c r="E2" s="862"/>
      <c r="F2" s="862"/>
      <c r="G2" s="862"/>
      <c r="H2" s="862"/>
      <c r="I2" s="862"/>
      <c r="J2" s="862"/>
      <c r="K2" s="862"/>
      <c r="L2" s="862"/>
    </row>
    <row r="3" spans="1:16" ht="15" thickBot="1" x14ac:dyDescent="0.35">
      <c r="A3" s="683"/>
      <c r="B3" s="683"/>
      <c r="C3" s="683"/>
      <c r="D3" s="683"/>
      <c r="E3" s="683"/>
      <c r="F3" s="683"/>
      <c r="G3" s="683"/>
      <c r="H3" s="683"/>
      <c r="I3" s="683"/>
      <c r="J3" s="683"/>
      <c r="K3" s="683"/>
      <c r="L3" s="683"/>
    </row>
    <row r="4" spans="1:16" ht="15" thickBot="1" x14ac:dyDescent="0.35">
      <c r="A4" s="863" t="s">
        <v>494</v>
      </c>
      <c r="B4" s="864"/>
      <c r="C4" s="864"/>
      <c r="D4" s="864"/>
      <c r="E4" s="864"/>
      <c r="F4" s="864"/>
      <c r="G4" s="864"/>
      <c r="H4" s="864"/>
      <c r="I4" s="864"/>
      <c r="J4" s="864"/>
      <c r="K4" s="864"/>
      <c r="L4" s="865"/>
    </row>
    <row r="5" spans="1:16" x14ac:dyDescent="0.3">
      <c r="A5" s="684"/>
      <c r="B5" s="685"/>
      <c r="C5" s="685"/>
      <c r="D5" s="685"/>
      <c r="E5" s="685"/>
      <c r="F5" s="685"/>
      <c r="G5" s="685"/>
      <c r="H5" s="685"/>
      <c r="I5" s="685"/>
      <c r="J5" s="685"/>
      <c r="K5" s="685"/>
      <c r="L5" s="685"/>
    </row>
    <row r="6" spans="1:16" x14ac:dyDescent="0.3">
      <c r="A6" s="682" t="s">
        <v>518</v>
      </c>
      <c r="C6" s="685"/>
      <c r="D6" s="685"/>
      <c r="E6" s="685"/>
      <c r="F6" s="685"/>
      <c r="G6" s="685"/>
      <c r="H6" s="685"/>
      <c r="I6" s="685"/>
      <c r="J6" s="685"/>
      <c r="K6" s="685"/>
      <c r="L6" s="685"/>
    </row>
    <row r="7" spans="1:16" x14ac:dyDescent="0.3">
      <c r="D7" s="685"/>
      <c r="E7" s="685"/>
      <c r="F7" s="685"/>
      <c r="G7" s="685"/>
      <c r="H7" s="685"/>
      <c r="I7" s="685"/>
      <c r="J7" s="685"/>
      <c r="K7" s="685"/>
      <c r="L7" s="685"/>
    </row>
    <row r="8" spans="1:16" x14ac:dyDescent="0.3">
      <c r="A8" s="716" t="s">
        <v>558</v>
      </c>
      <c r="C8" s="685"/>
      <c r="D8" s="685"/>
      <c r="E8" s="685"/>
      <c r="F8" s="715"/>
      <c r="G8" s="685"/>
      <c r="H8" s="685"/>
      <c r="I8" s="685"/>
      <c r="J8" s="685"/>
      <c r="K8" s="685"/>
      <c r="L8" s="685"/>
    </row>
    <row r="9" spans="1:16" x14ac:dyDescent="0.3">
      <c r="A9" s="682" t="s">
        <v>495</v>
      </c>
    </row>
    <row r="10" spans="1:16" ht="15" customHeight="1" thickBot="1" x14ac:dyDescent="0.35">
      <c r="N10" s="866" t="str">
        <f>Directions!N9</f>
        <v>Version 2.0</v>
      </c>
      <c r="O10" s="866"/>
    </row>
    <row r="11" spans="1:16" ht="15" customHeight="1" thickBot="1" x14ac:dyDescent="0.35">
      <c r="A11" s="863" t="s">
        <v>517</v>
      </c>
      <c r="B11" s="864"/>
      <c r="C11" s="864"/>
      <c r="D11" s="864"/>
      <c r="E11" s="864"/>
      <c r="F11" s="864"/>
      <c r="G11" s="864"/>
      <c r="H11" s="864"/>
      <c r="I11" s="864"/>
      <c r="J11" s="864"/>
      <c r="K11" s="864"/>
      <c r="L11" s="864"/>
      <c r="M11" s="864"/>
      <c r="N11" s="864"/>
      <c r="O11" s="864"/>
      <c r="P11" s="865"/>
    </row>
    <row r="12" spans="1:16" ht="14.7" customHeight="1" thickBot="1" x14ac:dyDescent="0.35">
      <c r="A12" s="867" t="s">
        <v>559</v>
      </c>
      <c r="B12" s="868"/>
      <c r="C12" s="868"/>
      <c r="D12" s="868"/>
      <c r="E12" s="868"/>
      <c r="F12" s="868"/>
      <c r="G12" s="868"/>
      <c r="H12" s="868"/>
      <c r="I12" s="868"/>
      <c r="J12" s="868"/>
      <c r="K12" s="868"/>
      <c r="L12" s="868"/>
      <c r="M12" s="868"/>
      <c r="N12" s="868"/>
      <c r="O12" s="868"/>
      <c r="P12" s="869"/>
    </row>
    <row r="13" spans="1:16" ht="14.7" customHeight="1" x14ac:dyDescent="0.3">
      <c r="A13" s="715" t="s">
        <v>368</v>
      </c>
      <c r="B13" s="716"/>
      <c r="M13" s="687"/>
      <c r="N13" s="687"/>
      <c r="O13" s="687"/>
      <c r="P13" s="687"/>
    </row>
    <row r="14" spans="1:16" ht="14.7" customHeight="1" x14ac:dyDescent="0.3">
      <c r="A14" s="715" t="s">
        <v>366</v>
      </c>
      <c r="B14" s="716"/>
      <c r="M14" s="687"/>
      <c r="N14" s="687"/>
      <c r="O14" s="687"/>
      <c r="P14" s="687"/>
    </row>
    <row r="15" spans="1:16" ht="14.7" customHeight="1" x14ac:dyDescent="0.3">
      <c r="A15" s="716" t="s">
        <v>367</v>
      </c>
      <c r="B15" s="716"/>
      <c r="M15" s="687"/>
      <c r="N15" s="687"/>
      <c r="O15" s="687"/>
      <c r="P15" s="687"/>
    </row>
    <row r="16" spans="1:16" ht="14.7" customHeight="1" x14ac:dyDescent="0.3">
      <c r="A16" s="715" t="s">
        <v>496</v>
      </c>
      <c r="B16" s="715"/>
      <c r="C16" s="687"/>
      <c r="D16" s="687"/>
      <c r="E16" s="687"/>
      <c r="F16" s="687"/>
      <c r="G16" s="687"/>
      <c r="H16" s="687"/>
      <c r="I16" s="687"/>
      <c r="J16" s="687"/>
      <c r="M16" s="687"/>
      <c r="N16" s="687"/>
      <c r="O16" s="687"/>
      <c r="P16" s="687"/>
    </row>
    <row r="17" spans="1:16" ht="14.7" customHeight="1" thickBot="1" x14ac:dyDescent="0.35">
      <c r="A17" s="686"/>
      <c r="C17" s="687"/>
      <c r="D17" s="687"/>
      <c r="E17" s="687"/>
      <c r="F17" s="687"/>
      <c r="G17" s="687"/>
      <c r="H17" s="687"/>
      <c r="I17" s="687"/>
      <c r="J17" s="687"/>
      <c r="M17" s="687"/>
      <c r="N17" s="687"/>
      <c r="O17" s="687"/>
      <c r="P17" s="687"/>
    </row>
    <row r="18" spans="1:16" ht="14.7" customHeight="1" thickBot="1" x14ac:dyDescent="0.35">
      <c r="A18" s="870" t="s">
        <v>560</v>
      </c>
      <c r="B18" s="871"/>
      <c r="C18" s="871"/>
      <c r="D18" s="871"/>
      <c r="E18" s="871"/>
      <c r="F18" s="871"/>
      <c r="G18" s="871"/>
      <c r="H18" s="871"/>
      <c r="I18" s="871"/>
      <c r="J18" s="871"/>
      <c r="K18" s="871"/>
      <c r="L18" s="871"/>
      <c r="M18" s="871"/>
      <c r="N18" s="871"/>
      <c r="O18" s="871"/>
      <c r="P18" s="872"/>
    </row>
    <row r="19" spans="1:16" ht="14.4" customHeight="1" x14ac:dyDescent="0.3">
      <c r="A19" s="716" t="s">
        <v>497</v>
      </c>
      <c r="B19" s="717"/>
      <c r="C19" s="716"/>
      <c r="M19" s="687"/>
      <c r="N19" s="687"/>
      <c r="O19" s="687"/>
      <c r="P19" s="687"/>
    </row>
    <row r="20" spans="1:16" x14ac:dyDescent="0.3">
      <c r="A20" s="716" t="s">
        <v>498</v>
      </c>
      <c r="B20" s="717"/>
      <c r="C20" s="716"/>
      <c r="M20" s="687"/>
      <c r="N20" s="687"/>
      <c r="O20" s="687"/>
      <c r="P20" s="687"/>
    </row>
    <row r="21" spans="1:16" x14ac:dyDescent="0.3">
      <c r="A21" s="716" t="s">
        <v>499</v>
      </c>
      <c r="B21" s="717"/>
      <c r="C21" s="716"/>
    </row>
    <row r="22" spans="1:16" x14ac:dyDescent="0.3">
      <c r="A22" s="716" t="s">
        <v>173</v>
      </c>
      <c r="B22" s="717"/>
      <c r="C22" s="716"/>
    </row>
    <row r="23" spans="1:16" x14ac:dyDescent="0.3">
      <c r="A23" s="716" t="s">
        <v>519</v>
      </c>
      <c r="B23" s="716"/>
      <c r="C23" s="716"/>
      <c r="D23" s="684"/>
      <c r="E23" s="684"/>
      <c r="F23" s="689"/>
      <c r="G23" s="689"/>
      <c r="H23" s="689"/>
      <c r="I23" s="689"/>
      <c r="J23" s="689"/>
      <c r="K23" s="689"/>
    </row>
    <row r="24" spans="1:16" x14ac:dyDescent="0.3">
      <c r="A24" s="716" t="s">
        <v>520</v>
      </c>
      <c r="B24" s="716"/>
      <c r="C24" s="716"/>
      <c r="J24" s="690"/>
    </row>
    <row r="25" spans="1:16" ht="14.7" customHeight="1" thickBot="1" x14ac:dyDescent="0.35"/>
    <row r="26" spans="1:16" ht="14.7" customHeight="1" thickBot="1" x14ac:dyDescent="0.35">
      <c r="A26" s="867" t="s">
        <v>500</v>
      </c>
      <c r="B26" s="868"/>
      <c r="C26" s="868"/>
      <c r="D26" s="868"/>
      <c r="E26" s="868"/>
      <c r="F26" s="868"/>
      <c r="G26" s="868"/>
      <c r="H26" s="868"/>
      <c r="I26" s="868"/>
      <c r="J26" s="868"/>
      <c r="K26" s="868"/>
      <c r="L26" s="868"/>
      <c r="M26" s="868"/>
      <c r="N26" s="868"/>
      <c r="O26" s="868"/>
      <c r="P26" s="869"/>
    </row>
    <row r="27" spans="1:16" ht="14.7" customHeight="1" x14ac:dyDescent="0.3">
      <c r="A27" s="682" t="s">
        <v>501</v>
      </c>
    </row>
    <row r="28" spans="1:16" x14ac:dyDescent="0.3">
      <c r="A28" s="682" t="s">
        <v>502</v>
      </c>
      <c r="J28" s="690"/>
    </row>
    <row r="29" spans="1:16" x14ac:dyDescent="0.3">
      <c r="A29" s="682" t="s">
        <v>503</v>
      </c>
    </row>
    <row r="30" spans="1:16" ht="14.7" customHeight="1" x14ac:dyDescent="0.3">
      <c r="A30" s="682" t="s">
        <v>504</v>
      </c>
      <c r="C30" s="686"/>
    </row>
    <row r="31" spans="1:16" ht="14.7" customHeight="1" x14ac:dyDescent="0.3">
      <c r="A31" s="691"/>
      <c r="B31" s="715" t="s">
        <v>366</v>
      </c>
      <c r="C31" s="716"/>
    </row>
    <row r="32" spans="1:16" ht="14.7" customHeight="1" x14ac:dyDescent="0.3">
      <c r="B32" s="715" t="s">
        <v>367</v>
      </c>
      <c r="C32" s="715"/>
      <c r="D32" s="691"/>
      <c r="E32" s="691"/>
      <c r="F32" s="691"/>
      <c r="G32" s="691"/>
      <c r="H32" s="691"/>
      <c r="I32" s="691"/>
      <c r="J32" s="691"/>
      <c r="K32" s="691"/>
    </row>
    <row r="33" spans="1:17" ht="14.7" customHeight="1" x14ac:dyDescent="0.3">
      <c r="B33" s="715" t="s">
        <v>496</v>
      </c>
      <c r="C33" s="716"/>
      <c r="D33" s="684"/>
      <c r="E33" s="684"/>
      <c r="F33" s="684"/>
      <c r="G33" s="684"/>
      <c r="H33" s="684"/>
      <c r="I33" s="684"/>
    </row>
    <row r="34" spans="1:17" ht="14.7" customHeight="1" x14ac:dyDescent="0.3">
      <c r="B34" s="685" t="s">
        <v>505</v>
      </c>
      <c r="C34" s="684"/>
      <c r="D34" s="684"/>
      <c r="E34" s="684"/>
      <c r="F34" s="684"/>
      <c r="G34" s="684"/>
      <c r="H34" s="684"/>
    </row>
    <row r="35" spans="1:17" ht="14.7" customHeight="1" x14ac:dyDescent="0.3">
      <c r="A35" s="682" t="s">
        <v>506</v>
      </c>
      <c r="C35" s="684"/>
      <c r="D35" s="684"/>
      <c r="E35" s="684"/>
      <c r="F35" s="689"/>
      <c r="G35" s="689"/>
      <c r="H35" s="689"/>
      <c r="I35" s="689"/>
      <c r="J35" s="689"/>
      <c r="K35" s="689"/>
    </row>
    <row r="36" spans="1:17" x14ac:dyDescent="0.3">
      <c r="A36" s="684" t="s">
        <v>507</v>
      </c>
    </row>
    <row r="37" spans="1:17" x14ac:dyDescent="0.3">
      <c r="B37" s="684" t="s">
        <v>508</v>
      </c>
    </row>
    <row r="38" spans="1:17" ht="14.7" customHeight="1" x14ac:dyDescent="0.3">
      <c r="A38" s="682" t="s">
        <v>509</v>
      </c>
      <c r="B38" s="684"/>
    </row>
    <row r="39" spans="1:17" ht="14.7" customHeight="1" x14ac:dyDescent="0.3">
      <c r="B39" s="684" t="s">
        <v>510</v>
      </c>
      <c r="E39" s="684"/>
      <c r="F39" s="684"/>
      <c r="G39" s="684"/>
      <c r="H39" s="684"/>
      <c r="I39" s="684"/>
      <c r="J39" s="684"/>
      <c r="K39" s="684"/>
      <c r="L39" s="684"/>
    </row>
    <row r="40" spans="1:17" ht="14.7" customHeight="1" thickBot="1" x14ac:dyDescent="0.35"/>
    <row r="41" spans="1:17" ht="15" thickBot="1" x14ac:dyDescent="0.35">
      <c r="A41" s="867" t="s">
        <v>511</v>
      </c>
      <c r="B41" s="868"/>
      <c r="C41" s="868"/>
      <c r="D41" s="868"/>
      <c r="E41" s="868"/>
      <c r="F41" s="868"/>
      <c r="G41" s="868"/>
      <c r="H41" s="868"/>
      <c r="I41" s="868"/>
      <c r="J41" s="868"/>
      <c r="K41" s="868"/>
      <c r="L41" s="868"/>
      <c r="M41" s="868"/>
      <c r="N41" s="868"/>
      <c r="O41" s="868"/>
      <c r="P41" s="869"/>
    </row>
    <row r="42" spans="1:17" ht="14.7" customHeight="1" x14ac:dyDescent="0.3">
      <c r="A42" s="682" t="s">
        <v>501</v>
      </c>
      <c r="B42" s="684"/>
      <c r="Q42" s="684" t="s">
        <v>2</v>
      </c>
    </row>
    <row r="43" spans="1:17" ht="14.7" customHeight="1" x14ac:dyDescent="0.3">
      <c r="A43" s="682" t="s">
        <v>502</v>
      </c>
      <c r="B43" s="684"/>
      <c r="C43" s="692"/>
      <c r="I43" s="684"/>
      <c r="Q43" s="684"/>
    </row>
    <row r="44" spans="1:17" ht="14.7" customHeight="1" x14ac:dyDescent="0.3">
      <c r="A44" s="682" t="s">
        <v>503</v>
      </c>
      <c r="B44" s="684"/>
      <c r="I44" s="690"/>
      <c r="J44" s="684"/>
      <c r="Q44" s="684"/>
    </row>
    <row r="45" spans="1:17" ht="14.7" customHeight="1" x14ac:dyDescent="0.3">
      <c r="A45" s="682" t="s">
        <v>504</v>
      </c>
      <c r="B45" s="684"/>
      <c r="I45" s="690"/>
      <c r="J45" s="684"/>
      <c r="Q45" s="684"/>
    </row>
    <row r="46" spans="1:17" ht="14.7" customHeight="1" x14ac:dyDescent="0.3">
      <c r="A46" s="691"/>
      <c r="B46" s="715" t="s">
        <v>366</v>
      </c>
      <c r="C46" s="716"/>
      <c r="I46" s="690"/>
      <c r="J46" s="684"/>
      <c r="Q46" s="684"/>
    </row>
    <row r="47" spans="1:17" ht="14.7" customHeight="1" x14ac:dyDescent="0.3">
      <c r="B47" s="715" t="s">
        <v>367</v>
      </c>
      <c r="C47" s="716"/>
      <c r="I47" s="690"/>
      <c r="J47" s="684"/>
      <c r="Q47" s="684"/>
    </row>
    <row r="48" spans="1:17" x14ac:dyDescent="0.3">
      <c r="B48" s="715" t="s">
        <v>496</v>
      </c>
      <c r="C48" s="716"/>
      <c r="K48" s="693"/>
    </row>
    <row r="49" spans="1:12" x14ac:dyDescent="0.3">
      <c r="A49" s="682" t="s">
        <v>512</v>
      </c>
      <c r="B49" s="684"/>
    </row>
    <row r="50" spans="1:12" ht="14.7" customHeight="1" x14ac:dyDescent="0.3">
      <c r="A50" s="684" t="s">
        <v>513</v>
      </c>
      <c r="C50" s="684"/>
      <c r="D50" s="684"/>
    </row>
    <row r="51" spans="1:12" x14ac:dyDescent="0.3">
      <c r="A51" s="682" t="s">
        <v>514</v>
      </c>
    </row>
    <row r="53" spans="1:12" x14ac:dyDescent="0.3">
      <c r="A53" s="716" t="s">
        <v>515</v>
      </c>
      <c r="B53" s="716"/>
      <c r="C53" s="716"/>
      <c r="D53" s="716"/>
      <c r="E53" s="716"/>
      <c r="F53" s="716"/>
      <c r="G53" s="716"/>
    </row>
    <row r="54" spans="1:12" ht="14.4" customHeight="1" x14ac:dyDescent="0.3">
      <c r="A54" s="716" t="s">
        <v>516</v>
      </c>
      <c r="B54" s="716"/>
      <c r="C54" s="716"/>
      <c r="D54" s="716"/>
      <c r="E54" s="716"/>
      <c r="F54" s="716"/>
      <c r="G54" s="716"/>
      <c r="K54" s="684"/>
    </row>
    <row r="55" spans="1:12" ht="15.6" x14ac:dyDescent="0.3">
      <c r="A55" s="694"/>
      <c r="B55" s="694"/>
      <c r="C55" s="694"/>
      <c r="D55" s="694"/>
      <c r="E55" s="694"/>
      <c r="F55" s="694"/>
      <c r="G55" s="694"/>
      <c r="H55" s="694"/>
      <c r="I55" s="695"/>
      <c r="J55" s="695"/>
      <c r="K55" s="695"/>
      <c r="L55" s="695"/>
    </row>
    <row r="56" spans="1:12" x14ac:dyDescent="0.3">
      <c r="A56" s="696"/>
      <c r="B56" s="696"/>
      <c r="C56" s="696"/>
      <c r="D56" s="696"/>
      <c r="E56" s="696"/>
      <c r="F56" s="696"/>
      <c r="G56" s="696"/>
      <c r="H56" s="696"/>
      <c r="I56" s="696"/>
      <c r="J56" s="696"/>
      <c r="K56" s="696"/>
      <c r="L56" s="696"/>
    </row>
    <row r="57" spans="1:12" x14ac:dyDescent="0.3">
      <c r="A57" s="693"/>
      <c r="B57" s="693"/>
      <c r="C57" s="693"/>
      <c r="D57" s="693"/>
      <c r="E57" s="693"/>
      <c r="F57" s="693"/>
      <c r="G57" s="693"/>
      <c r="H57" s="693"/>
      <c r="I57" s="693"/>
      <c r="J57" s="693"/>
      <c r="K57" s="697"/>
    </row>
    <row r="58" spans="1:12" x14ac:dyDescent="0.3">
      <c r="A58" s="693"/>
      <c r="B58" s="686"/>
      <c r="C58" s="693"/>
      <c r="D58" s="693"/>
      <c r="E58" s="693"/>
      <c r="F58" s="693"/>
      <c r="G58" s="693"/>
      <c r="H58" s="693"/>
      <c r="I58" s="693"/>
      <c r="J58" s="693"/>
      <c r="K58" s="697"/>
    </row>
    <row r="59" spans="1:12" x14ac:dyDescent="0.3">
      <c r="A59" s="693"/>
      <c r="B59" s="684"/>
      <c r="C59" s="684"/>
      <c r="D59" s="684"/>
      <c r="E59" s="684"/>
      <c r="F59" s="684"/>
      <c r="G59" s="684"/>
      <c r="H59" s="684"/>
      <c r="I59" s="684"/>
      <c r="J59" s="684"/>
      <c r="K59" s="697"/>
    </row>
    <row r="60" spans="1:12" x14ac:dyDescent="0.3">
      <c r="B60" s="684"/>
      <c r="K60" s="697"/>
    </row>
    <row r="61" spans="1:12" x14ac:dyDescent="0.3">
      <c r="B61" s="684"/>
      <c r="K61" s="697"/>
    </row>
    <row r="62" spans="1:12" x14ac:dyDescent="0.3">
      <c r="B62" s="684"/>
      <c r="K62" s="697"/>
    </row>
    <row r="63" spans="1:12" x14ac:dyDescent="0.3">
      <c r="A63" s="693"/>
      <c r="D63" s="698"/>
      <c r="E63" s="699"/>
      <c r="F63" s="698"/>
      <c r="G63" s="699"/>
      <c r="H63" s="698"/>
      <c r="I63" s="699"/>
      <c r="K63" s="697"/>
    </row>
    <row r="64" spans="1:12" x14ac:dyDescent="0.3">
      <c r="B64" s="684"/>
      <c r="K64" s="697"/>
    </row>
    <row r="65" spans="1:11" x14ac:dyDescent="0.3">
      <c r="B65" s="697"/>
      <c r="C65" s="684"/>
      <c r="D65" s="697"/>
      <c r="E65" s="697"/>
      <c r="F65" s="697"/>
      <c r="G65" s="697"/>
      <c r="H65" s="697"/>
      <c r="I65" s="697"/>
      <c r="J65" s="697"/>
      <c r="K65" s="697"/>
    </row>
    <row r="66" spans="1:11" x14ac:dyDescent="0.3">
      <c r="B66" s="697"/>
      <c r="C66" s="684"/>
      <c r="D66" s="697"/>
      <c r="E66" s="697"/>
      <c r="F66" s="697"/>
      <c r="G66" s="697"/>
      <c r="H66" s="697"/>
      <c r="I66" s="697"/>
      <c r="J66" s="697"/>
    </row>
    <row r="67" spans="1:11" x14ac:dyDescent="0.3">
      <c r="B67" s="697"/>
      <c r="C67" s="684"/>
      <c r="D67" s="697"/>
      <c r="E67" s="697"/>
      <c r="F67" s="697"/>
      <c r="G67" s="697"/>
      <c r="H67" s="697"/>
      <c r="I67" s="697"/>
      <c r="J67" s="697"/>
    </row>
    <row r="68" spans="1:11" x14ac:dyDescent="0.3">
      <c r="B68" s="684"/>
      <c r="C68" s="684"/>
      <c r="D68" s="697"/>
      <c r="E68" s="697"/>
      <c r="F68" s="697"/>
      <c r="G68" s="697"/>
      <c r="H68" s="697"/>
      <c r="I68" s="697"/>
      <c r="J68" s="697"/>
    </row>
    <row r="69" spans="1:11" x14ac:dyDescent="0.3">
      <c r="B69" s="684"/>
      <c r="C69" s="684"/>
      <c r="D69" s="697"/>
      <c r="E69" s="697"/>
      <c r="F69" s="697"/>
      <c r="G69" s="697"/>
      <c r="H69" s="697"/>
      <c r="I69" s="697"/>
      <c r="J69" s="697"/>
    </row>
    <row r="70" spans="1:11" x14ac:dyDescent="0.3">
      <c r="B70" s="684"/>
      <c r="C70" s="684"/>
      <c r="D70" s="697"/>
      <c r="E70" s="697"/>
      <c r="F70" s="697"/>
      <c r="G70" s="697"/>
      <c r="H70" s="697"/>
      <c r="I70" s="697"/>
      <c r="J70" s="697"/>
    </row>
    <row r="71" spans="1:11" x14ac:dyDescent="0.3">
      <c r="B71" s="684"/>
      <c r="C71" s="684"/>
      <c r="D71" s="697"/>
      <c r="E71" s="697"/>
      <c r="F71" s="697"/>
      <c r="G71" s="697"/>
      <c r="H71" s="697"/>
      <c r="I71" s="697"/>
      <c r="J71" s="697"/>
    </row>
    <row r="72" spans="1:11" x14ac:dyDescent="0.3">
      <c r="B72" s="684"/>
      <c r="C72" s="684"/>
      <c r="D72" s="697"/>
      <c r="E72" s="697"/>
      <c r="F72" s="697"/>
      <c r="G72" s="697"/>
      <c r="H72" s="697"/>
      <c r="I72" s="697"/>
      <c r="J72" s="697"/>
    </row>
    <row r="73" spans="1:11" x14ac:dyDescent="0.3">
      <c r="B73" s="692"/>
      <c r="I73" s="697"/>
    </row>
    <row r="74" spans="1:11" x14ac:dyDescent="0.3">
      <c r="I74" s="697"/>
    </row>
    <row r="75" spans="1:11" ht="14.4" customHeight="1" x14ac:dyDescent="0.3">
      <c r="A75" s="688"/>
      <c r="I75" s="697"/>
    </row>
    <row r="76" spans="1:11" ht="14.4" customHeight="1" x14ac:dyDescent="0.3">
      <c r="J76" s="697"/>
    </row>
    <row r="77" spans="1:11" x14ac:dyDescent="0.3">
      <c r="B77" s="686"/>
    </row>
    <row r="78" spans="1:11" ht="21.6" customHeight="1" x14ac:dyDescent="0.3">
      <c r="C78" s="700"/>
    </row>
    <row r="79" spans="1:11" x14ac:dyDescent="0.3">
      <c r="A79" s="693"/>
      <c r="C79" s="700"/>
      <c r="I79" s="697"/>
    </row>
    <row r="80" spans="1:11" x14ac:dyDescent="0.3">
      <c r="I80" s="701"/>
      <c r="J80" s="697"/>
    </row>
    <row r="81" spans="1:12" x14ac:dyDescent="0.3">
      <c r="I81" s="702"/>
      <c r="J81" s="701"/>
      <c r="K81" s="701"/>
      <c r="L81" s="701"/>
    </row>
    <row r="82" spans="1:12" ht="14.4" customHeight="1" x14ac:dyDescent="0.3">
      <c r="B82" s="700"/>
      <c r="I82" s="702"/>
      <c r="J82" s="701"/>
      <c r="K82" s="701"/>
      <c r="L82" s="701"/>
    </row>
    <row r="83" spans="1:12" x14ac:dyDescent="0.3">
      <c r="A83" s="693"/>
      <c r="K83" s="702"/>
      <c r="L83" s="702"/>
    </row>
    <row r="84" spans="1:12" x14ac:dyDescent="0.3">
      <c r="B84" s="692"/>
      <c r="K84" s="702"/>
      <c r="L84" s="702"/>
    </row>
    <row r="85" spans="1:12" x14ac:dyDescent="0.3">
      <c r="B85" s="692"/>
    </row>
    <row r="88" spans="1:12" ht="14.7" customHeight="1" x14ac:dyDescent="0.3"/>
    <row r="89" spans="1:12" x14ac:dyDescent="0.3">
      <c r="I89" s="697"/>
      <c r="J89" s="702"/>
    </row>
    <row r="90" spans="1:12" x14ac:dyDescent="0.3">
      <c r="J90" s="697"/>
    </row>
    <row r="91" spans="1:12" x14ac:dyDescent="0.3">
      <c r="E91" s="700"/>
    </row>
    <row r="92" spans="1:12" x14ac:dyDescent="0.3">
      <c r="E92" s="700"/>
    </row>
  </sheetData>
  <mergeCells count="10">
    <mergeCell ref="A11:P11"/>
    <mergeCell ref="A12:P12"/>
    <mergeCell ref="A18:P18"/>
    <mergeCell ref="A26:P26"/>
    <mergeCell ref="A41:P41"/>
    <mergeCell ref="A1:H1"/>
    <mergeCell ref="I1:L1"/>
    <mergeCell ref="A2:L2"/>
    <mergeCell ref="A4:L4"/>
    <mergeCell ref="N10:O10"/>
  </mergeCells>
  <printOptions horizontalCentered="1"/>
  <pageMargins left="0.7" right="0.7" top="0.75" bottom="0.75" header="0.3" footer="0.3"/>
  <pageSetup scale="62" orientation="portrait" horizontalDpi="200" verticalDpi="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3B0B-187B-40C8-8D4D-0662EBAE8232}">
  <dimension ref="B1:M136"/>
  <sheetViews>
    <sheetView showGridLines="0" topLeftCell="A92" zoomScaleNormal="100" zoomScaleSheetLayoutView="100" workbookViewId="0">
      <selection activeCell="F134" sqref="F134:I134"/>
    </sheetView>
  </sheetViews>
  <sheetFormatPr defaultColWidth="8.6640625" defaultRowHeight="14.4" x14ac:dyDescent="0.3"/>
  <cols>
    <col min="1" max="1" width="8.44140625" customWidth="1"/>
    <col min="2" max="2" width="10.88671875" bestFit="1" customWidth="1"/>
    <col min="3" max="3" width="19.88671875" bestFit="1" customWidth="1"/>
    <col min="4" max="4" width="20.109375" customWidth="1"/>
    <col min="5" max="5" width="19.33203125" bestFit="1" customWidth="1"/>
    <col min="6" max="6" width="15.6640625" customWidth="1"/>
    <col min="7" max="7" width="24.5546875" customWidth="1"/>
    <col min="8" max="9" width="17.6640625" customWidth="1"/>
    <col min="10" max="10" width="8.44140625" customWidth="1"/>
  </cols>
  <sheetData>
    <row r="1" spans="2:13" ht="16.2" thickBot="1" x14ac:dyDescent="0.35">
      <c r="B1" s="831" t="s">
        <v>388</v>
      </c>
      <c r="C1" s="832"/>
      <c r="D1" s="832"/>
      <c r="E1" s="832"/>
      <c r="F1" s="833" t="s">
        <v>387</v>
      </c>
      <c r="G1" s="833"/>
      <c r="H1" s="833"/>
      <c r="I1" s="834"/>
    </row>
    <row r="2" spans="2:13" ht="16.2" customHeight="1" thickBot="1" x14ac:dyDescent="0.35">
      <c r="B2" s="996" t="str">
        <f>Directions!A2</f>
        <v>DT2220     07/2022</v>
      </c>
      <c r="C2" s="997"/>
      <c r="D2" s="997"/>
      <c r="E2" s="997"/>
      <c r="F2" s="997"/>
      <c r="G2" s="997"/>
      <c r="H2" s="997"/>
      <c r="I2" s="998"/>
      <c r="J2" s="270"/>
      <c r="K2" s="270"/>
      <c r="L2" s="270"/>
      <c r="M2" s="270"/>
    </row>
    <row r="3" spans="2:13" ht="15.6" customHeight="1" thickBot="1" x14ac:dyDescent="0.35">
      <c r="B3" s="831" t="s">
        <v>309</v>
      </c>
      <c r="C3" s="832"/>
      <c r="D3" s="832"/>
      <c r="E3" s="832"/>
      <c r="F3" s="832"/>
      <c r="G3" s="832"/>
      <c r="H3" s="832"/>
      <c r="I3" s="970"/>
    </row>
    <row r="4" spans="2:13" ht="14.4" customHeight="1" x14ac:dyDescent="0.3">
      <c r="B4" s="959" t="s">
        <v>310</v>
      </c>
      <c r="C4" s="960"/>
      <c r="D4" s="965"/>
      <c r="E4" s="198" t="s">
        <v>17</v>
      </c>
      <c r="F4" s="991" t="s">
        <v>18</v>
      </c>
      <c r="G4" s="991"/>
      <c r="H4" s="991" t="s">
        <v>19</v>
      </c>
      <c r="I4" s="999"/>
    </row>
    <row r="5" spans="2:13" ht="15.6" customHeight="1" x14ac:dyDescent="0.3">
      <c r="B5" s="961"/>
      <c r="C5" s="962"/>
      <c r="D5" s="963"/>
      <c r="E5" s="705"/>
      <c r="F5" s="988"/>
      <c r="G5" s="963"/>
      <c r="H5" s="988"/>
      <c r="I5" s="989"/>
    </row>
    <row r="6" spans="2:13" ht="14.4" customHeight="1" x14ac:dyDescent="0.3">
      <c r="B6" s="990" t="s">
        <v>20</v>
      </c>
      <c r="C6" s="991"/>
      <c r="D6" s="991"/>
      <c r="E6" s="991"/>
      <c r="F6" s="991" t="s">
        <v>21</v>
      </c>
      <c r="G6" s="991"/>
      <c r="H6" s="991"/>
      <c r="I6" s="999"/>
    </row>
    <row r="7" spans="2:13" ht="15.6" customHeight="1" x14ac:dyDescent="0.3">
      <c r="B7" s="1010"/>
      <c r="C7" s="1011"/>
      <c r="D7" s="1011"/>
      <c r="E7" s="1011"/>
      <c r="F7" s="988"/>
      <c r="G7" s="962"/>
      <c r="H7" s="962"/>
      <c r="I7" s="989"/>
    </row>
    <row r="8" spans="2:13" ht="14.4" customHeight="1" x14ac:dyDescent="0.3">
      <c r="B8" s="990" t="s">
        <v>22</v>
      </c>
      <c r="C8" s="991"/>
      <c r="D8" s="991"/>
      <c r="E8" s="991"/>
      <c r="F8" s="991" t="s">
        <v>311</v>
      </c>
      <c r="G8" s="991"/>
      <c r="H8" s="991"/>
      <c r="I8" s="999"/>
    </row>
    <row r="9" spans="2:13" ht="15.6" customHeight="1" thickBot="1" x14ac:dyDescent="0.35">
      <c r="B9" s="1000"/>
      <c r="C9" s="1001"/>
      <c r="D9" s="1001"/>
      <c r="E9" s="1001"/>
      <c r="F9" s="1001"/>
      <c r="G9" s="1001"/>
      <c r="H9" s="1001"/>
      <c r="I9" s="1002"/>
    </row>
    <row r="10" spans="2:13" ht="15.6" customHeight="1" thickBot="1" x14ac:dyDescent="0.35">
      <c r="B10" s="831" t="s">
        <v>312</v>
      </c>
      <c r="C10" s="832"/>
      <c r="D10" s="832"/>
      <c r="E10" s="832"/>
      <c r="F10" s="832"/>
      <c r="G10" s="832"/>
      <c r="H10" s="832"/>
      <c r="I10" s="970"/>
    </row>
    <row r="11" spans="2:13" ht="14.4" customHeight="1" x14ac:dyDescent="0.3">
      <c r="B11" s="959" t="s">
        <v>313</v>
      </c>
      <c r="C11" s="960"/>
      <c r="D11" s="960"/>
      <c r="E11" s="960"/>
      <c r="F11" s="960"/>
      <c r="G11" s="960"/>
      <c r="H11" s="964" t="s">
        <v>314</v>
      </c>
      <c r="I11" s="987"/>
    </row>
    <row r="12" spans="2:13" ht="15.6" customHeight="1" x14ac:dyDescent="0.3">
      <c r="B12" s="961"/>
      <c r="C12" s="962"/>
      <c r="D12" s="962"/>
      <c r="E12" s="962"/>
      <c r="F12" s="962"/>
      <c r="G12" s="963"/>
      <c r="H12" s="1008"/>
      <c r="I12" s="1009"/>
    </row>
    <row r="13" spans="2:13" ht="14.4" customHeight="1" x14ac:dyDescent="0.3">
      <c r="B13" s="959" t="s">
        <v>315</v>
      </c>
      <c r="C13" s="960"/>
      <c r="D13" s="960"/>
      <c r="E13" s="960"/>
      <c r="F13" s="964" t="s">
        <v>151</v>
      </c>
      <c r="G13" s="965"/>
      <c r="H13" s="199" t="s">
        <v>152</v>
      </c>
      <c r="I13" s="200" t="s">
        <v>153</v>
      </c>
    </row>
    <row r="14" spans="2:13" ht="15.6" customHeight="1" thickBot="1" x14ac:dyDescent="0.35">
      <c r="B14" s="966"/>
      <c r="C14" s="967"/>
      <c r="D14" s="967"/>
      <c r="E14" s="967"/>
      <c r="F14" s="968"/>
      <c r="G14" s="969"/>
      <c r="H14" s="201"/>
      <c r="I14" s="573"/>
    </row>
    <row r="15" spans="2:13" ht="14.4" customHeight="1" thickBot="1" x14ac:dyDescent="0.35">
      <c r="B15" s="831" t="s">
        <v>316</v>
      </c>
      <c r="C15" s="832"/>
      <c r="D15" s="832"/>
      <c r="E15" s="832"/>
      <c r="F15" s="832"/>
      <c r="G15" s="832"/>
      <c r="H15" s="832"/>
      <c r="I15" s="970"/>
    </row>
    <row r="16" spans="2:13" ht="15.6" customHeight="1" x14ac:dyDescent="0.3">
      <c r="B16" s="959" t="s">
        <v>317</v>
      </c>
      <c r="C16" s="960"/>
      <c r="D16" s="960"/>
      <c r="E16" s="960"/>
      <c r="F16" s="960"/>
      <c r="G16" s="960"/>
      <c r="H16" s="964" t="s">
        <v>314</v>
      </c>
      <c r="I16" s="987"/>
    </row>
    <row r="17" spans="2:9" ht="14.4" customHeight="1" x14ac:dyDescent="0.3">
      <c r="B17" s="961"/>
      <c r="C17" s="962"/>
      <c r="D17" s="962"/>
      <c r="E17" s="962"/>
      <c r="F17" s="962"/>
      <c r="G17" s="963"/>
      <c r="H17" s="1008"/>
      <c r="I17" s="1009"/>
    </row>
    <row r="18" spans="2:9" ht="15.6" customHeight="1" x14ac:dyDescent="0.3">
      <c r="B18" s="959" t="s">
        <v>315</v>
      </c>
      <c r="C18" s="960"/>
      <c r="D18" s="960"/>
      <c r="E18" s="960"/>
      <c r="F18" s="964" t="s">
        <v>151</v>
      </c>
      <c r="G18" s="960"/>
      <c r="H18" s="199" t="s">
        <v>152</v>
      </c>
      <c r="I18" s="200" t="s">
        <v>153</v>
      </c>
    </row>
    <row r="19" spans="2:9" ht="15.6" customHeight="1" thickBot="1" x14ac:dyDescent="0.35">
      <c r="B19" s="966"/>
      <c r="C19" s="967"/>
      <c r="D19" s="967"/>
      <c r="E19" s="967"/>
      <c r="F19" s="968"/>
      <c r="G19" s="969"/>
      <c r="H19" s="201"/>
      <c r="I19" s="573"/>
    </row>
    <row r="20" spans="2:9" ht="16.2" thickBot="1" x14ac:dyDescent="0.35">
      <c r="B20" s="831" t="s">
        <v>318</v>
      </c>
      <c r="C20" s="832"/>
      <c r="D20" s="832"/>
      <c r="E20" s="832"/>
      <c r="F20" s="832"/>
      <c r="G20" s="832"/>
      <c r="H20" s="832"/>
      <c r="I20" s="970"/>
    </row>
    <row r="21" spans="2:9" x14ac:dyDescent="0.3">
      <c r="B21" s="959" t="s">
        <v>319</v>
      </c>
      <c r="C21" s="960"/>
      <c r="D21" s="965"/>
      <c r="E21" s="198" t="s">
        <v>148</v>
      </c>
      <c r="F21" s="991" t="s">
        <v>149</v>
      </c>
      <c r="G21" s="991"/>
      <c r="H21" s="991" t="s">
        <v>551</v>
      </c>
      <c r="I21" s="999"/>
    </row>
    <row r="22" spans="2:9" ht="14.4" customHeight="1" x14ac:dyDescent="0.3">
      <c r="B22" s="961"/>
      <c r="C22" s="962"/>
      <c r="D22" s="963"/>
      <c r="E22" s="203">
        <f>'6 Calculation Check'!D6</f>
        <v>0</v>
      </c>
      <c r="F22" s="988"/>
      <c r="G22" s="963"/>
      <c r="H22" s="1006"/>
      <c r="I22" s="1007"/>
    </row>
    <row r="23" spans="2:9" ht="15.6" customHeight="1" x14ac:dyDescent="0.3">
      <c r="B23" s="984" t="s">
        <v>150</v>
      </c>
      <c r="C23" s="985"/>
      <c r="D23" s="985"/>
      <c r="E23" s="985"/>
      <c r="F23" s="985"/>
      <c r="G23" s="985"/>
      <c r="H23" s="985"/>
      <c r="I23" s="986"/>
    </row>
    <row r="24" spans="2:9" ht="14.4" customHeight="1" x14ac:dyDescent="0.3">
      <c r="B24" s="984" t="s">
        <v>320</v>
      </c>
      <c r="C24" s="985"/>
      <c r="D24" s="985" t="s">
        <v>25</v>
      </c>
      <c r="E24" s="985"/>
      <c r="F24" s="985"/>
      <c r="G24" s="985"/>
      <c r="H24" s="985"/>
      <c r="I24" s="986"/>
    </row>
    <row r="25" spans="2:9" ht="15.6" customHeight="1" x14ac:dyDescent="0.3">
      <c r="B25" s="980"/>
      <c r="C25" s="981"/>
      <c r="D25" s="982"/>
      <c r="E25" s="982"/>
      <c r="F25" s="982"/>
      <c r="G25" s="982"/>
      <c r="H25" s="982"/>
      <c r="I25" s="983"/>
    </row>
    <row r="26" spans="2:9" ht="15.6" customHeight="1" x14ac:dyDescent="0.3">
      <c r="B26" s="980"/>
      <c r="C26" s="981"/>
      <c r="D26" s="982"/>
      <c r="E26" s="982"/>
      <c r="F26" s="982"/>
      <c r="G26" s="982"/>
      <c r="H26" s="982"/>
      <c r="I26" s="983"/>
    </row>
    <row r="27" spans="2:9" ht="15.6" customHeight="1" x14ac:dyDescent="0.3">
      <c r="B27" s="980"/>
      <c r="C27" s="981"/>
      <c r="D27" s="982"/>
      <c r="E27" s="982"/>
      <c r="F27" s="982"/>
      <c r="G27" s="982"/>
      <c r="H27" s="982"/>
      <c r="I27" s="983"/>
    </row>
    <row r="28" spans="2:9" ht="15.6" customHeight="1" x14ac:dyDescent="0.3">
      <c r="B28" s="980"/>
      <c r="C28" s="981"/>
      <c r="D28" s="982"/>
      <c r="E28" s="982"/>
      <c r="F28" s="982"/>
      <c r="G28" s="982"/>
      <c r="H28" s="982"/>
      <c r="I28" s="983"/>
    </row>
    <row r="29" spans="2:9" ht="15.6" customHeight="1" x14ac:dyDescent="0.3">
      <c r="B29" s="992"/>
      <c r="C29" s="993"/>
      <c r="D29" s="994"/>
      <c r="E29" s="994"/>
      <c r="F29" s="994"/>
      <c r="G29" s="994"/>
      <c r="H29" s="994"/>
      <c r="I29" s="995"/>
    </row>
    <row r="30" spans="2:9" ht="15.6" customHeight="1" x14ac:dyDescent="0.3">
      <c r="B30" s="992"/>
      <c r="C30" s="993"/>
      <c r="D30" s="994"/>
      <c r="E30" s="994"/>
      <c r="F30" s="994"/>
      <c r="G30" s="994"/>
      <c r="H30" s="994"/>
      <c r="I30" s="995"/>
    </row>
    <row r="31" spans="2:9" ht="15.6" customHeight="1" x14ac:dyDescent="0.3">
      <c r="B31" s="992"/>
      <c r="C31" s="993"/>
      <c r="D31" s="994"/>
      <c r="E31" s="994"/>
      <c r="F31" s="994"/>
      <c r="G31" s="994"/>
      <c r="H31" s="994"/>
      <c r="I31" s="995"/>
    </row>
    <row r="32" spans="2:9" ht="14.4" customHeight="1" x14ac:dyDescent="0.3">
      <c r="B32" s="980"/>
      <c r="C32" s="981"/>
      <c r="D32" s="982"/>
      <c r="E32" s="982"/>
      <c r="F32" s="982"/>
      <c r="G32" s="982"/>
      <c r="H32" s="982"/>
      <c r="I32" s="983"/>
    </row>
    <row r="33" spans="2:9" ht="14.4" customHeight="1" x14ac:dyDescent="0.3">
      <c r="B33" s="959" t="s">
        <v>321</v>
      </c>
      <c r="C33" s="960"/>
      <c r="D33" s="960"/>
      <c r="E33" s="960"/>
      <c r="F33" s="960"/>
      <c r="G33" s="960"/>
      <c r="H33" s="964" t="s">
        <v>322</v>
      </c>
      <c r="I33" s="987"/>
    </row>
    <row r="34" spans="2:9" ht="15.6" customHeight="1" x14ac:dyDescent="0.3">
      <c r="B34" s="961"/>
      <c r="C34" s="962"/>
      <c r="D34" s="962"/>
      <c r="E34" s="962"/>
      <c r="F34" s="962"/>
      <c r="G34" s="963"/>
      <c r="H34" s="988"/>
      <c r="I34" s="989"/>
    </row>
    <row r="35" spans="2:9" ht="14.4" customHeight="1" x14ac:dyDescent="0.3">
      <c r="B35" s="959" t="s">
        <v>154</v>
      </c>
      <c r="C35" s="960"/>
      <c r="D35" s="960"/>
      <c r="E35" s="960"/>
      <c r="F35" s="964" t="s">
        <v>151</v>
      </c>
      <c r="G35" s="965"/>
      <c r="H35" s="199" t="s">
        <v>152</v>
      </c>
      <c r="I35" s="200" t="s">
        <v>153</v>
      </c>
    </row>
    <row r="36" spans="2:9" ht="15.6" customHeight="1" thickBot="1" x14ac:dyDescent="0.35">
      <c r="B36" s="1012"/>
      <c r="C36" s="1013"/>
      <c r="D36" s="1013"/>
      <c r="E36" s="1013"/>
      <c r="F36" s="1014"/>
      <c r="G36" s="1015"/>
      <c r="H36" s="658"/>
      <c r="I36" s="657"/>
    </row>
    <row r="37" spans="2:9" ht="15.6" customHeight="1" thickBot="1" x14ac:dyDescent="0.35">
      <c r="B37" s="1016" t="s">
        <v>438</v>
      </c>
      <c r="C37" s="1017"/>
      <c r="D37" s="1017"/>
      <c r="E37" s="1017"/>
      <c r="F37" s="1017"/>
      <c r="G37" s="1017"/>
      <c r="H37" s="1017"/>
      <c r="I37" s="1018"/>
    </row>
    <row r="38" spans="2:9" ht="15.6" customHeight="1" x14ac:dyDescent="0.3">
      <c r="B38" s="1019" t="s">
        <v>434</v>
      </c>
      <c r="C38" s="1020"/>
      <c r="D38" s="659" t="s">
        <v>439</v>
      </c>
      <c r="E38" s="1021" t="s">
        <v>440</v>
      </c>
      <c r="F38" s="1021"/>
      <c r="G38" s="660" t="s">
        <v>554</v>
      </c>
      <c r="H38" s="661" t="s">
        <v>218</v>
      </c>
      <c r="I38" s="662" t="s">
        <v>437</v>
      </c>
    </row>
    <row r="39" spans="2:9" ht="15.6" customHeight="1" thickBot="1" x14ac:dyDescent="0.35">
      <c r="B39" s="1022"/>
      <c r="C39" s="1023"/>
      <c r="D39" s="706"/>
      <c r="E39" s="1024"/>
      <c r="F39" s="1024"/>
      <c r="G39" s="663"/>
      <c r="H39" s="663"/>
      <c r="I39" s="666" t="str">
        <f>'Optimize Tool'!T11</f>
        <v>-</v>
      </c>
    </row>
    <row r="40" spans="2:9" ht="15.6" customHeight="1" thickBot="1" x14ac:dyDescent="0.35">
      <c r="B40" s="831" t="s">
        <v>457</v>
      </c>
      <c r="C40" s="832"/>
      <c r="D40" s="832"/>
      <c r="E40" s="832"/>
      <c r="F40" s="832"/>
      <c r="G40" s="832"/>
      <c r="H40" s="832"/>
      <c r="I40" s="970"/>
    </row>
    <row r="41" spans="2:9" s="127" customFormat="1" x14ac:dyDescent="0.3">
      <c r="B41" s="971" t="s">
        <v>323</v>
      </c>
      <c r="C41" s="972"/>
      <c r="D41" s="972"/>
      <c r="E41" s="972"/>
      <c r="F41" s="972"/>
      <c r="G41" s="972"/>
      <c r="H41" s="972"/>
      <c r="I41" s="973"/>
    </row>
    <row r="42" spans="2:9" ht="14.4" customHeight="1" x14ac:dyDescent="0.3">
      <c r="B42" s="974"/>
      <c r="C42" s="975"/>
      <c r="D42" s="975"/>
      <c r="E42" s="975"/>
      <c r="F42" s="975"/>
      <c r="G42" s="975"/>
      <c r="H42" s="975"/>
      <c r="I42" s="976"/>
    </row>
    <row r="43" spans="2:9" ht="18" customHeight="1" x14ac:dyDescent="0.3">
      <c r="B43" s="974"/>
      <c r="C43" s="975"/>
      <c r="D43" s="975"/>
      <c r="E43" s="975"/>
      <c r="F43" s="975"/>
      <c r="G43" s="975"/>
      <c r="H43" s="975"/>
      <c r="I43" s="976"/>
    </row>
    <row r="44" spans="2:9" ht="14.4" customHeight="1" x14ac:dyDescent="0.3">
      <c r="B44" s="974"/>
      <c r="C44" s="975"/>
      <c r="D44" s="975"/>
      <c r="E44" s="975"/>
      <c r="F44" s="975"/>
      <c r="G44" s="975"/>
      <c r="H44" s="975"/>
      <c r="I44" s="976"/>
    </row>
    <row r="45" spans="2:9" ht="15.6" customHeight="1" x14ac:dyDescent="0.3">
      <c r="B45" s="977"/>
      <c r="C45" s="978"/>
      <c r="D45" s="978"/>
      <c r="E45" s="978"/>
      <c r="F45" s="978"/>
      <c r="G45" s="978"/>
      <c r="H45" s="978"/>
      <c r="I45" s="979"/>
    </row>
    <row r="46" spans="2:9" ht="14.4" customHeight="1" x14ac:dyDescent="0.3">
      <c r="B46" s="959" t="s">
        <v>155</v>
      </c>
      <c r="C46" s="960"/>
      <c r="D46" s="960"/>
      <c r="E46" s="1003" t="s">
        <v>380</v>
      </c>
      <c r="F46" s="1004"/>
      <c r="G46" s="1005"/>
      <c r="H46" s="204" t="s">
        <v>156</v>
      </c>
      <c r="I46" s="205" t="s">
        <v>552</v>
      </c>
    </row>
    <row r="47" spans="2:9" ht="15.6" customHeight="1" x14ac:dyDescent="0.3">
      <c r="B47" s="961"/>
      <c r="C47" s="962"/>
      <c r="D47" s="962"/>
      <c r="E47" s="988"/>
      <c r="F47" s="962"/>
      <c r="G47" s="963"/>
      <c r="H47" s="206"/>
      <c r="I47" s="544"/>
    </row>
    <row r="48" spans="2:9" ht="15.6" customHeight="1" x14ac:dyDescent="0.3">
      <c r="B48" s="959" t="s">
        <v>157</v>
      </c>
      <c r="C48" s="960"/>
      <c r="D48" s="960"/>
      <c r="E48" s="964" t="s">
        <v>324</v>
      </c>
      <c r="F48" s="960"/>
      <c r="G48" s="965"/>
      <c r="H48" s="964" t="s">
        <v>314</v>
      </c>
      <c r="I48" s="987"/>
    </row>
    <row r="49" spans="2:9" ht="15.6" x14ac:dyDescent="0.3">
      <c r="B49" s="961"/>
      <c r="C49" s="962"/>
      <c r="D49" s="962"/>
      <c r="E49" s="1025"/>
      <c r="F49" s="1026"/>
      <c r="G49" s="1027"/>
      <c r="H49" s="1008"/>
      <c r="I49" s="1009"/>
    </row>
    <row r="50" spans="2:9" ht="14.4" customHeight="1" x14ac:dyDescent="0.3">
      <c r="B50" s="959" t="s">
        <v>154</v>
      </c>
      <c r="C50" s="960"/>
      <c r="D50" s="960"/>
      <c r="E50" s="960"/>
      <c r="F50" s="964" t="s">
        <v>151</v>
      </c>
      <c r="G50" s="965"/>
      <c r="H50" s="199" t="s">
        <v>152</v>
      </c>
      <c r="I50" s="200" t="s">
        <v>153</v>
      </c>
    </row>
    <row r="51" spans="2:9" ht="18" customHeight="1" thickBot="1" x14ac:dyDescent="0.35">
      <c r="B51" s="961"/>
      <c r="C51" s="962"/>
      <c r="D51" s="962"/>
      <c r="E51" s="962"/>
      <c r="F51" s="988"/>
      <c r="G51" s="963"/>
      <c r="H51" s="201"/>
      <c r="I51" s="202"/>
    </row>
    <row r="52" spans="2:9" ht="14.4" customHeight="1" thickBot="1" x14ac:dyDescent="0.35">
      <c r="B52" s="831" t="s">
        <v>458</v>
      </c>
      <c r="C52" s="832"/>
      <c r="D52" s="832"/>
      <c r="E52" s="832"/>
      <c r="F52" s="832"/>
      <c r="G52" s="832"/>
      <c r="H52" s="832"/>
      <c r="I52" s="970"/>
    </row>
    <row r="53" spans="2:9" ht="15.6" customHeight="1" x14ac:dyDescent="0.3">
      <c r="B53" s="971" t="s">
        <v>325</v>
      </c>
      <c r="C53" s="972"/>
      <c r="D53" s="972"/>
      <c r="E53" s="972"/>
      <c r="F53" s="972"/>
      <c r="G53" s="972"/>
      <c r="H53" s="972"/>
      <c r="I53" s="973"/>
    </row>
    <row r="54" spans="2:9" ht="14.4" customHeight="1" x14ac:dyDescent="0.3">
      <c r="B54" s="974"/>
      <c r="C54" s="975"/>
      <c r="D54" s="975"/>
      <c r="E54" s="975"/>
      <c r="F54" s="975"/>
      <c r="G54" s="975"/>
      <c r="H54" s="975"/>
      <c r="I54" s="976"/>
    </row>
    <row r="55" spans="2:9" ht="15.6" customHeight="1" x14ac:dyDescent="0.3">
      <c r="B55" s="977"/>
      <c r="C55" s="978"/>
      <c r="D55" s="978"/>
      <c r="E55" s="978"/>
      <c r="F55" s="978"/>
      <c r="G55" s="978"/>
      <c r="H55" s="978"/>
      <c r="I55" s="979"/>
    </row>
    <row r="56" spans="2:9" x14ac:dyDescent="0.3">
      <c r="B56" s="959" t="s">
        <v>255</v>
      </c>
      <c r="C56" s="960"/>
      <c r="D56" s="965"/>
      <c r="E56" s="964" t="s">
        <v>326</v>
      </c>
      <c r="F56" s="960"/>
      <c r="G56" s="965"/>
      <c r="H56" s="991" t="s">
        <v>552</v>
      </c>
      <c r="I56" s="999"/>
    </row>
    <row r="57" spans="2:9" ht="15.6" x14ac:dyDescent="0.3">
      <c r="B57" s="1012"/>
      <c r="C57" s="1013"/>
      <c r="D57" s="1015"/>
      <c r="E57" s="1014"/>
      <c r="F57" s="1013"/>
      <c r="G57" s="1015"/>
      <c r="H57" s="1033"/>
      <c r="I57" s="1034"/>
    </row>
    <row r="58" spans="2:9" x14ac:dyDescent="0.3">
      <c r="B58" s="959" t="s">
        <v>157</v>
      </c>
      <c r="C58" s="960"/>
      <c r="D58" s="960"/>
      <c r="E58" s="964" t="s">
        <v>324</v>
      </c>
      <c r="F58" s="960"/>
      <c r="G58" s="965"/>
      <c r="H58" s="964" t="s">
        <v>314</v>
      </c>
      <c r="I58" s="987"/>
    </row>
    <row r="59" spans="2:9" ht="15.6" x14ac:dyDescent="0.3">
      <c r="B59" s="961"/>
      <c r="C59" s="962"/>
      <c r="D59" s="962"/>
      <c r="E59" s="1025"/>
      <c r="F59" s="1026"/>
      <c r="G59" s="1027"/>
      <c r="H59" s="1008"/>
      <c r="I59" s="1009"/>
    </row>
    <row r="60" spans="2:9" x14ac:dyDescent="0.3">
      <c r="B60" s="959" t="s">
        <v>154</v>
      </c>
      <c r="C60" s="960"/>
      <c r="D60" s="960"/>
      <c r="E60" s="960"/>
      <c r="F60" s="964" t="s">
        <v>151</v>
      </c>
      <c r="G60" s="960"/>
      <c r="H60" s="199" t="s">
        <v>152</v>
      </c>
      <c r="I60" s="200" t="s">
        <v>153</v>
      </c>
    </row>
    <row r="61" spans="2:9" ht="16.2" thickBot="1" x14ac:dyDescent="0.35">
      <c r="B61" s="1029"/>
      <c r="C61" s="1028"/>
      <c r="D61" s="1028"/>
      <c r="E61" s="1028"/>
      <c r="F61" s="968"/>
      <c r="G61" s="1028"/>
      <c r="H61" s="207"/>
      <c r="I61" s="208"/>
    </row>
    <row r="62" spans="2:9" ht="16.2" thickBot="1" x14ac:dyDescent="0.35">
      <c r="B62" s="831" t="s">
        <v>388</v>
      </c>
      <c r="C62" s="832"/>
      <c r="D62" s="832"/>
      <c r="E62" s="832"/>
      <c r="F62" s="833" t="s">
        <v>387</v>
      </c>
      <c r="G62" s="833"/>
      <c r="H62" s="833"/>
      <c r="I62" s="834"/>
    </row>
    <row r="63" spans="2:9" ht="15" thickBot="1" x14ac:dyDescent="0.35">
      <c r="B63" s="996" t="e">
        <f>#REF!</f>
        <v>#REF!</v>
      </c>
      <c r="C63" s="997"/>
      <c r="D63" s="997"/>
      <c r="E63" s="997"/>
      <c r="F63" s="997"/>
      <c r="G63" s="997"/>
      <c r="H63" s="997"/>
      <c r="I63" s="998"/>
    </row>
    <row r="64" spans="2:9" ht="15.6" x14ac:dyDescent="0.3">
      <c r="B64" s="1042" t="s">
        <v>15</v>
      </c>
      <c r="C64" s="1043"/>
      <c r="D64" s="1043"/>
      <c r="E64" s="1043"/>
      <c r="F64" s="1043"/>
      <c r="G64" s="1043"/>
      <c r="H64" s="1043"/>
      <c r="I64" s="1044"/>
    </row>
    <row r="65" spans="2:9" x14ac:dyDescent="0.3">
      <c r="B65" s="990" t="s">
        <v>16</v>
      </c>
      <c r="C65" s="991"/>
      <c r="D65" s="991" t="s">
        <v>17</v>
      </c>
      <c r="E65" s="991"/>
      <c r="F65" s="991" t="s">
        <v>18</v>
      </c>
      <c r="G65" s="991"/>
      <c r="H65" s="991" t="s">
        <v>19</v>
      </c>
      <c r="I65" s="999"/>
    </row>
    <row r="66" spans="2:9" ht="15.6" x14ac:dyDescent="0.3">
      <c r="B66" s="1038" t="str">
        <f>IF(ISBLANK(B5),"",B5)</f>
        <v/>
      </c>
      <c r="C66" s="1039"/>
      <c r="D66" s="1040" t="str">
        <f>IF(ISBLANK(E5),"",E5)</f>
        <v/>
      </c>
      <c r="E66" s="1039"/>
      <c r="F66" s="1040" t="str">
        <f>IF(ISBLANK(F5),"",F5)</f>
        <v/>
      </c>
      <c r="G66" s="1039"/>
      <c r="H66" s="1040" t="str">
        <f>IF(ISBLANK(H5),"",H5)</f>
        <v/>
      </c>
      <c r="I66" s="1041"/>
    </row>
    <row r="67" spans="2:9" x14ac:dyDescent="0.3">
      <c r="B67" s="990" t="s">
        <v>20</v>
      </c>
      <c r="C67" s="991"/>
      <c r="D67" s="991"/>
      <c r="E67" s="991"/>
      <c r="F67" s="991" t="s">
        <v>21</v>
      </c>
      <c r="G67" s="991"/>
      <c r="H67" s="991"/>
      <c r="I67" s="999"/>
    </row>
    <row r="68" spans="2:9" ht="15.6" x14ac:dyDescent="0.3">
      <c r="B68" s="1035" t="str">
        <f>IF(ISBLANK(B7),"",B7)</f>
        <v/>
      </c>
      <c r="C68" s="1036"/>
      <c r="D68" s="1036"/>
      <c r="E68" s="1036"/>
      <c r="F68" s="1036" t="str">
        <f>IF(ISBLANK(F7),"",F7)</f>
        <v/>
      </c>
      <c r="G68" s="1036"/>
      <c r="H68" s="1036"/>
      <c r="I68" s="1037"/>
    </row>
    <row r="69" spans="2:9" x14ac:dyDescent="0.3">
      <c r="B69" s="990" t="s">
        <v>22</v>
      </c>
      <c r="C69" s="991"/>
      <c r="D69" s="991"/>
      <c r="E69" s="991"/>
      <c r="F69" s="991" t="s">
        <v>311</v>
      </c>
      <c r="G69" s="991"/>
      <c r="H69" s="991"/>
      <c r="I69" s="999"/>
    </row>
    <row r="70" spans="2:9" ht="16.2" thickBot="1" x14ac:dyDescent="0.35">
      <c r="B70" s="1030" t="str">
        <f>IF(ISBLANK(B9),"",B9)</f>
        <v/>
      </c>
      <c r="C70" s="1031"/>
      <c r="D70" s="1031"/>
      <c r="E70" s="1031"/>
      <c r="F70" s="1031" t="str">
        <f>IF(ISBLANK(F9),"",F9)</f>
        <v/>
      </c>
      <c r="G70" s="1031"/>
      <c r="H70" s="1031"/>
      <c r="I70" s="1032"/>
    </row>
    <row r="71" spans="2:9" ht="16.2" thickBot="1" x14ac:dyDescent="0.35">
      <c r="B71" s="906" t="s">
        <v>147</v>
      </c>
      <c r="C71" s="907"/>
      <c r="D71" s="907"/>
      <c r="E71" s="907"/>
      <c r="F71" s="907"/>
      <c r="G71" s="907"/>
      <c r="H71" s="907"/>
      <c r="I71" s="908"/>
    </row>
    <row r="72" spans="2:9" ht="13.2" customHeight="1" thickBot="1" x14ac:dyDescent="0.35">
      <c r="B72" s="209"/>
      <c r="C72" s="210"/>
      <c r="D72" s="210"/>
      <c r="E72" s="210"/>
      <c r="F72" s="210"/>
      <c r="G72" s="210"/>
      <c r="H72" s="210"/>
      <c r="I72" s="211"/>
    </row>
    <row r="73" spans="2:9" ht="15" thickBot="1" x14ac:dyDescent="0.35">
      <c r="B73" s="917" t="s">
        <v>327</v>
      </c>
      <c r="C73" s="931"/>
      <c r="D73" s="931"/>
      <c r="E73" s="932"/>
      <c r="F73" s="213"/>
      <c r="G73" s="937" t="s">
        <v>332</v>
      </c>
      <c r="H73" s="938"/>
      <c r="I73" s="939"/>
    </row>
    <row r="74" spans="2:9" ht="13.2" customHeight="1" thickBot="1" x14ac:dyDescent="0.35">
      <c r="B74" s="214" t="s">
        <v>24</v>
      </c>
      <c r="C74" s="955" t="s">
        <v>328</v>
      </c>
      <c r="D74" s="956"/>
      <c r="E74" s="139" t="s">
        <v>183</v>
      </c>
      <c r="G74" s="940" t="s">
        <v>75</v>
      </c>
      <c r="H74" s="943" t="s">
        <v>333</v>
      </c>
      <c r="I74" s="946" t="s">
        <v>334</v>
      </c>
    </row>
    <row r="75" spans="2:9" ht="13.2" customHeight="1" x14ac:dyDescent="0.3">
      <c r="B75" s="215" t="s">
        <v>167</v>
      </c>
      <c r="C75" s="920" t="str">
        <f>'6 Calculation Check'!T22</f>
        <v>-</v>
      </c>
      <c r="D75" s="920"/>
      <c r="E75" s="137" t="str">
        <f>'6 Calculation Check'!S22</f>
        <v>-</v>
      </c>
      <c r="G75" s="941"/>
      <c r="H75" s="944"/>
      <c r="I75" s="947"/>
    </row>
    <row r="76" spans="2:9" ht="13.2" customHeight="1" thickBot="1" x14ac:dyDescent="0.35">
      <c r="B76" s="216" t="s">
        <v>168</v>
      </c>
      <c r="C76" s="921" t="str">
        <f>'6 Calculation Check'!T23</f>
        <v>-</v>
      </c>
      <c r="D76" s="921"/>
      <c r="E76" s="138" t="str">
        <f>'6 Calculation Check'!S23</f>
        <v>-</v>
      </c>
      <c r="G76" s="942"/>
      <c r="H76" s="945"/>
      <c r="I76" s="948"/>
    </row>
    <row r="77" spans="2:9" ht="13.2" customHeight="1" x14ac:dyDescent="0.3">
      <c r="B77" s="216" t="s">
        <v>185</v>
      </c>
      <c r="C77" s="921" t="str">
        <f>'6 Calculation Check'!T24</f>
        <v>-</v>
      </c>
      <c r="D77" s="921"/>
      <c r="E77" s="138" t="str">
        <f>'6 Calculation Check'!S24</f>
        <v>-</v>
      </c>
      <c r="G77" s="949" t="str">
        <f>'6 Calculation Check'!R45</f>
        <v>-</v>
      </c>
      <c r="H77" s="952" t="str">
        <f>'6 Calculation Check'!S45</f>
        <v>-</v>
      </c>
      <c r="I77" s="952" t="str">
        <f>'6 Calculation Check'!T45</f>
        <v>-</v>
      </c>
    </row>
    <row r="78" spans="2:9" ht="13.2" customHeight="1" x14ac:dyDescent="0.3">
      <c r="B78" s="216" t="s">
        <v>186</v>
      </c>
      <c r="C78" s="921" t="str">
        <f>'6 Calculation Check'!T25</f>
        <v>-</v>
      </c>
      <c r="D78" s="921"/>
      <c r="E78" s="138" t="str">
        <f>'6 Calculation Check'!S25</f>
        <v>-</v>
      </c>
      <c r="G78" s="950"/>
      <c r="H78" s="922"/>
      <c r="I78" s="922"/>
    </row>
    <row r="79" spans="2:9" ht="13.2" customHeight="1" thickBot="1" x14ac:dyDescent="0.35">
      <c r="B79" s="217" t="s">
        <v>187</v>
      </c>
      <c r="C79" s="921" t="str">
        <f>'6 Calculation Check'!T26</f>
        <v>-</v>
      </c>
      <c r="D79" s="921"/>
      <c r="E79" s="138" t="str">
        <f>'6 Calculation Check'!S26</f>
        <v>-</v>
      </c>
      <c r="G79" s="951" t="str">
        <f>'6 Calculation Check'!R46</f>
        <v>-</v>
      </c>
      <c r="H79" s="922" t="str">
        <f>'6 Calculation Check'!S46</f>
        <v>-</v>
      </c>
      <c r="I79" s="922" t="str">
        <f>'6 Calculation Check'!T46</f>
        <v>-</v>
      </c>
    </row>
    <row r="80" spans="2:9" ht="13.2" customHeight="1" thickBot="1" x14ac:dyDescent="0.35">
      <c r="B80" s="917" t="s">
        <v>329</v>
      </c>
      <c r="C80" s="931"/>
      <c r="D80" s="932"/>
      <c r="E80" s="139" t="str">
        <f>IF('2 Aggregate System'!C19=0,"-",'2 Aggregate System'!C19)</f>
        <v>-</v>
      </c>
      <c r="G80" s="949"/>
      <c r="H80" s="922"/>
      <c r="I80" s="922"/>
    </row>
    <row r="81" spans="2:9" ht="13.2" customHeight="1" x14ac:dyDescent="0.3">
      <c r="B81" s="212"/>
      <c r="C81" s="213"/>
      <c r="D81" s="213"/>
      <c r="G81" s="951" t="str">
        <f>'6 Calculation Check'!R47</f>
        <v>-</v>
      </c>
      <c r="H81" s="922" t="str">
        <f>'6 Calculation Check'!S47</f>
        <v>-</v>
      </c>
      <c r="I81" s="922" t="str">
        <f>'6 Calculation Check'!T47</f>
        <v>-</v>
      </c>
    </row>
    <row r="82" spans="2:9" ht="13.2" customHeight="1" thickBot="1" x14ac:dyDescent="0.35">
      <c r="B82" s="212"/>
      <c r="C82" s="213"/>
      <c r="D82" s="213"/>
      <c r="G82" s="949"/>
      <c r="H82" s="922"/>
      <c r="I82" s="922"/>
    </row>
    <row r="83" spans="2:9" ht="13.2" customHeight="1" thickBot="1" x14ac:dyDescent="0.35">
      <c r="B83" s="917" t="s">
        <v>330</v>
      </c>
      <c r="C83" s="918"/>
      <c r="D83" s="918"/>
      <c r="E83" s="919"/>
      <c r="G83" s="951" t="str">
        <f>'6 Calculation Check'!R48</f>
        <v>-</v>
      </c>
      <c r="H83" s="922" t="str">
        <f>'6 Calculation Check'!S48</f>
        <v>-</v>
      </c>
      <c r="I83" s="922" t="str">
        <f>'6 Calculation Check'!T48</f>
        <v>-</v>
      </c>
    </row>
    <row r="84" spans="2:9" ht="13.2" customHeight="1" thickBot="1" x14ac:dyDescent="0.35">
      <c r="B84" s="214" t="s">
        <v>24</v>
      </c>
      <c r="C84" s="704" t="s">
        <v>62</v>
      </c>
      <c r="D84" s="214" t="s">
        <v>63</v>
      </c>
      <c r="E84" s="139" t="s">
        <v>331</v>
      </c>
      <c r="G84" s="948"/>
      <c r="H84" s="923"/>
      <c r="I84" s="923"/>
    </row>
    <row r="85" spans="2:9" ht="13.2" customHeight="1" thickBot="1" x14ac:dyDescent="0.35">
      <c r="B85" s="215" t="s">
        <v>66</v>
      </c>
      <c r="C85" s="218" t="str">
        <f>'6 Calculation Check'!R31</f>
        <v>Cement?</v>
      </c>
      <c r="D85" s="219" t="str">
        <f>'6 Calculation Check'!S31</f>
        <v>Cement?</v>
      </c>
      <c r="E85" s="137" t="str">
        <f>'6 Calculation Check'!T31</f>
        <v>Cement?</v>
      </c>
      <c r="I85" s="220"/>
    </row>
    <row r="86" spans="2:9" ht="13.2" customHeight="1" thickBot="1" x14ac:dyDescent="0.35">
      <c r="B86" s="216" t="s">
        <v>67</v>
      </c>
      <c r="C86" s="221" t="str">
        <f>'6 Calculation Check'!R32</f>
        <v>-</v>
      </c>
      <c r="D86" s="222" t="str">
        <f>'6 Calculation Check'!S32</f>
        <v>-</v>
      </c>
      <c r="E86" s="177" t="str">
        <f>'6 Calculation Check'!T32</f>
        <v>-</v>
      </c>
      <c r="G86" s="924" t="s">
        <v>335</v>
      </c>
      <c r="H86" s="925"/>
      <c r="I86" s="926"/>
    </row>
    <row r="87" spans="2:9" ht="13.2" customHeight="1" x14ac:dyDescent="0.3">
      <c r="B87" s="216" t="s">
        <v>70</v>
      </c>
      <c r="C87" s="221" t="str">
        <f>'6 Calculation Check'!R33</f>
        <v>-</v>
      </c>
      <c r="D87" s="222" t="str">
        <f>'6 Calculation Check'!S33</f>
        <v>-</v>
      </c>
      <c r="E87" s="177" t="str">
        <f>'6 Calculation Check'!T33</f>
        <v>-</v>
      </c>
      <c r="G87" s="156" t="s">
        <v>428</v>
      </c>
      <c r="H87" s="157" t="s">
        <v>178</v>
      </c>
      <c r="I87" s="158" t="s">
        <v>179</v>
      </c>
    </row>
    <row r="88" spans="2:9" ht="13.2" customHeight="1" x14ac:dyDescent="0.3">
      <c r="B88" s="216" t="s">
        <v>220</v>
      </c>
      <c r="C88" s="221" t="str">
        <f>'6 Calculation Check'!R34</f>
        <v>-</v>
      </c>
      <c r="D88" s="222" t="str">
        <f>'6 Calculation Check'!S34</f>
        <v>-</v>
      </c>
      <c r="E88" s="177" t="str">
        <f>'6 Calculation Check'!T34</f>
        <v>-</v>
      </c>
      <c r="G88" s="957" t="str">
        <f>'6 Calculation Check'!Q40</f>
        <v>Source Type?</v>
      </c>
      <c r="H88" s="927" t="str">
        <f>'6 Calculation Check'!R40</f>
        <v>Source Type?</v>
      </c>
      <c r="I88" s="896" t="str">
        <f>'6 Calculation Check'!S40</f>
        <v>Test Number?</v>
      </c>
    </row>
    <row r="89" spans="2:9" ht="13.2" customHeight="1" thickBot="1" x14ac:dyDescent="0.35">
      <c r="B89" s="223" t="s">
        <v>222</v>
      </c>
      <c r="C89" s="224" t="str">
        <f>'6 Calculation Check'!R35</f>
        <v>-</v>
      </c>
      <c r="D89" s="225" t="str">
        <f>'6 Calculation Check'!S35</f>
        <v>-</v>
      </c>
      <c r="E89" s="703" t="str">
        <f>'6 Calculation Check'!T35</f>
        <v>-</v>
      </c>
      <c r="G89" s="958"/>
      <c r="H89" s="928"/>
      <c r="I89" s="897"/>
    </row>
    <row r="90" spans="2:9" ht="15" thickBot="1" x14ac:dyDescent="0.35">
      <c r="B90" s="226"/>
      <c r="C90" s="227"/>
      <c r="D90" s="227"/>
      <c r="E90" s="228"/>
      <c r="F90" s="228"/>
      <c r="G90" s="228"/>
      <c r="H90" s="228"/>
      <c r="I90" s="229"/>
    </row>
    <row r="91" spans="2:9" ht="15" thickBot="1" x14ac:dyDescent="0.35">
      <c r="B91" s="230"/>
      <c r="C91" s="231"/>
      <c r="D91" s="231"/>
      <c r="E91" s="232"/>
      <c r="F91" s="232"/>
      <c r="G91" s="232"/>
      <c r="H91" s="232"/>
      <c r="I91" s="233"/>
    </row>
    <row r="92" spans="2:9" ht="15" thickBot="1" x14ac:dyDescent="0.35">
      <c r="B92" s="212"/>
      <c r="C92" s="213"/>
      <c r="D92" s="213"/>
      <c r="F92" s="917" t="s">
        <v>76</v>
      </c>
      <c r="G92" s="931"/>
      <c r="H92" s="931"/>
      <c r="I92" s="932"/>
    </row>
    <row r="93" spans="2:9" x14ac:dyDescent="0.3">
      <c r="B93" s="212"/>
      <c r="C93" s="213"/>
      <c r="D93" s="213"/>
      <c r="F93" s="935" t="s">
        <v>77</v>
      </c>
      <c r="G93" s="929" t="s">
        <v>63</v>
      </c>
      <c r="H93" s="933" t="s">
        <v>345</v>
      </c>
      <c r="I93" s="915" t="s">
        <v>381</v>
      </c>
    </row>
    <row r="94" spans="2:9" ht="15" thickBot="1" x14ac:dyDescent="0.35">
      <c r="B94" s="212"/>
      <c r="C94" s="213"/>
      <c r="D94" s="213"/>
      <c r="F94" s="936"/>
      <c r="G94" s="930"/>
      <c r="H94" s="934"/>
      <c r="I94" s="916"/>
    </row>
    <row r="95" spans="2:9" x14ac:dyDescent="0.3">
      <c r="B95" s="212"/>
      <c r="C95" s="213"/>
      <c r="D95" s="213"/>
      <c r="F95" s="244" t="s">
        <v>167</v>
      </c>
      <c r="G95" s="137" t="str">
        <f>IF('2 Aggregate System'!B13=0,"-",'2 Aggregate System'!B13)</f>
        <v>-</v>
      </c>
      <c r="H95" s="650" t="str">
        <f>'6 Calculation Check'!H43</f>
        <v>VOL. ERROR</v>
      </c>
      <c r="I95" s="238" t="str">
        <f>'6 Calculation Check'!G26</f>
        <v>-</v>
      </c>
    </row>
    <row r="96" spans="2:9" x14ac:dyDescent="0.3">
      <c r="B96" s="212"/>
      <c r="C96" s="213"/>
      <c r="D96" s="213"/>
      <c r="F96" s="245" t="s">
        <v>168</v>
      </c>
      <c r="G96" s="138" t="str">
        <f>IF('2 Aggregate System'!B14=0,"-",'2 Aggregate System'!B14)</f>
        <v>-</v>
      </c>
      <c r="H96" s="651" t="str">
        <f>'6 Calculation Check'!I43</f>
        <v>VOL. ERROR</v>
      </c>
      <c r="I96" s="241" t="str">
        <f>'6 Calculation Check'!G27</f>
        <v>-</v>
      </c>
    </row>
    <row r="97" spans="2:9" x14ac:dyDescent="0.3">
      <c r="B97" s="212"/>
      <c r="C97" s="213"/>
      <c r="D97" s="213"/>
      <c r="F97" s="245" t="s">
        <v>185</v>
      </c>
      <c r="G97" s="138" t="str">
        <f>IF('2 Aggregate System'!B15=0,"-",'2 Aggregate System'!B15)</f>
        <v>-</v>
      </c>
      <c r="H97" s="651" t="str">
        <f>'6 Calculation Check'!J43</f>
        <v>VOL. ERROR</v>
      </c>
      <c r="I97" s="241" t="str">
        <f>'6 Calculation Check'!G28</f>
        <v>-</v>
      </c>
    </row>
    <row r="98" spans="2:9" x14ac:dyDescent="0.3">
      <c r="B98" s="212"/>
      <c r="C98" s="213"/>
      <c r="D98" s="213"/>
      <c r="F98" s="245" t="s">
        <v>186</v>
      </c>
      <c r="G98" s="138" t="str">
        <f>IF('2 Aggregate System'!B16=0,"-",'2 Aggregate System'!B16)</f>
        <v>-</v>
      </c>
      <c r="H98" s="651" t="str">
        <f>'6 Calculation Check'!K43</f>
        <v>VOL. ERROR</v>
      </c>
      <c r="I98" s="241" t="str">
        <f>'6 Calculation Check'!G29</f>
        <v>-</v>
      </c>
    </row>
    <row r="99" spans="2:9" ht="15" thickBot="1" x14ac:dyDescent="0.35">
      <c r="B99" s="212"/>
      <c r="C99" s="213"/>
      <c r="D99" s="213"/>
      <c r="F99" s="247" t="s">
        <v>187</v>
      </c>
      <c r="G99" s="155" t="str">
        <f>IF('2 Aggregate System'!B17=0,"-",'2 Aggregate System'!B17)</f>
        <v>-</v>
      </c>
      <c r="H99" s="652" t="str">
        <f>'6 Calculation Check'!L43</f>
        <v>VOL. ERROR</v>
      </c>
      <c r="I99" s="243" t="str">
        <f>'6 Calculation Check'!G30</f>
        <v>-</v>
      </c>
    </row>
    <row r="100" spans="2:9" x14ac:dyDescent="0.3">
      <c r="B100" s="212"/>
      <c r="C100" s="213"/>
      <c r="D100" s="213"/>
      <c r="F100" s="236" t="s">
        <v>66</v>
      </c>
      <c r="G100" s="137" t="str">
        <f>_xlfn.CONCAT(C85,"-",D85)</f>
        <v>Cement?-Cement?</v>
      </c>
      <c r="H100" s="655" t="str">
        <f>IF('6 Calculation Check'!E31=0,"-",'6 Calculation Check'!E31)</f>
        <v>-</v>
      </c>
      <c r="I100" s="656" t="str">
        <f>IF('6 Calculation Check'!G31=0,"-",'6 Calculation Check'!G31)</f>
        <v>CM ERROR</v>
      </c>
    </row>
    <row r="101" spans="2:9" x14ac:dyDescent="0.3">
      <c r="B101" s="212"/>
      <c r="C101" s="213"/>
      <c r="D101" s="213"/>
      <c r="F101" s="240" t="s">
        <v>290</v>
      </c>
      <c r="G101" s="177" t="str">
        <f>_xlfn.CONCAT(C86,"-",D86)</f>
        <v>---</v>
      </c>
      <c r="H101" s="246" t="str">
        <f>IF('6 Calculation Check'!E32=0,"-",'6 Calculation Check'!E32)</f>
        <v>-</v>
      </c>
      <c r="I101" s="241" t="str">
        <f>IF('6 Calculation Check'!G32=0,"-",'6 Calculation Check'!G32)</f>
        <v>CM ERROR</v>
      </c>
    </row>
    <row r="102" spans="2:9" x14ac:dyDescent="0.3">
      <c r="B102" s="212"/>
      <c r="C102" s="213"/>
      <c r="D102" s="213"/>
      <c r="F102" s="240" t="s">
        <v>70</v>
      </c>
      <c r="G102" s="177" t="str">
        <f>_xlfn.CONCAT(C87,"-",D87)</f>
        <v>---</v>
      </c>
      <c r="H102" s="246" t="str">
        <f>IF('6 Calculation Check'!E33=0,"-",'6 Calculation Check'!E33)</f>
        <v>-</v>
      </c>
      <c r="I102" s="241" t="str">
        <f>IF('6 Calculation Check'!G33=0,"-",'6 Calculation Check'!G33)</f>
        <v>CM ERROR</v>
      </c>
    </row>
    <row r="103" spans="2:9" x14ac:dyDescent="0.3">
      <c r="B103" s="212"/>
      <c r="C103" s="213"/>
      <c r="D103" s="213"/>
      <c r="F103" s="240" t="s">
        <v>220</v>
      </c>
      <c r="G103" s="177" t="str">
        <f>_xlfn.CONCAT(C88,"-",D88)</f>
        <v>---</v>
      </c>
      <c r="H103" s="246" t="str">
        <f>IF('6 Calculation Check'!E34=0,"-",'6 Calculation Check'!E34)</f>
        <v>-</v>
      </c>
      <c r="I103" s="241" t="str">
        <f>IF('6 Calculation Check'!G34=0,"-",'6 Calculation Check'!G34)</f>
        <v>CM ERROR</v>
      </c>
    </row>
    <row r="104" spans="2:9" x14ac:dyDescent="0.3">
      <c r="B104" s="212"/>
      <c r="C104" s="213"/>
      <c r="D104" s="213"/>
      <c r="F104" s="240" t="s">
        <v>222</v>
      </c>
      <c r="G104" s="177" t="str">
        <f>_xlfn.CONCAT(C89,"-",D89)</f>
        <v>---</v>
      </c>
      <c r="H104" s="246" t="str">
        <f>IF('6 Calculation Check'!E35=0,"-",'6 Calculation Check'!E35)</f>
        <v>-</v>
      </c>
      <c r="I104" s="241" t="str">
        <f>IF('6 Calculation Check'!G35=0,"-",'6 Calculation Check'!G35)</f>
        <v>CM ERROR</v>
      </c>
    </row>
    <row r="105" spans="2:9" ht="15" thickBot="1" x14ac:dyDescent="0.35">
      <c r="B105" s="212"/>
      <c r="C105" s="213"/>
      <c r="D105" s="213"/>
      <c r="F105" s="242" t="s">
        <v>73</v>
      </c>
      <c r="G105" s="703" t="str">
        <f>H88</f>
        <v>Source Type?</v>
      </c>
      <c r="H105" s="248" t="str">
        <f>IF('4 Mix Design'!H28="CM ERROR","CM ERROR",IF('5 Agg Analysis'!$AA$53&lt;&gt;27.2,"VOL. ERROR",IF('4 Mix Design'!D26=0,"",ROUND('4 Mix Design'!D26,0))))</f>
        <v>VOL. ERROR</v>
      </c>
      <c r="I105" s="654" t="str">
        <f>'6 Calculation Check'!G37</f>
        <v>CM ERROR</v>
      </c>
    </row>
    <row r="106" spans="2:9" ht="15" thickBot="1" x14ac:dyDescent="0.35">
      <c r="B106" s="212"/>
      <c r="C106" s="213"/>
      <c r="D106" s="213"/>
      <c r="G106" s="649" t="s">
        <v>378</v>
      </c>
      <c r="H106" s="647" t="str">
        <f>IF(OR('3 Paste Quality'!B34="",'3 Paste Quality'!B34=0),"AIR ?",'3 Paste Quality'!B34)</f>
        <v>AIR ?</v>
      </c>
      <c r="I106" s="648" t="str">
        <f>'6 Calculation Check'!G38</f>
        <v>AIR ?</v>
      </c>
    </row>
    <row r="107" spans="2:9" ht="15.6" thickBot="1" x14ac:dyDescent="0.35">
      <c r="B107" s="212"/>
      <c r="C107" s="213"/>
      <c r="D107" s="213"/>
      <c r="G107" s="904" t="s">
        <v>382</v>
      </c>
      <c r="H107" s="905"/>
      <c r="I107" s="646" t="str">
        <f>'6 Calculation Check'!H6</f>
        <v>VOL. ERROR</v>
      </c>
    </row>
    <row r="108" spans="2:9" ht="15" thickBot="1" x14ac:dyDescent="0.35">
      <c r="B108" s="212"/>
      <c r="C108" s="213"/>
      <c r="D108" s="213"/>
      <c r="E108" s="213"/>
      <c r="G108" s="953" t="s">
        <v>281</v>
      </c>
      <c r="H108" s="954"/>
      <c r="I108" s="253">
        <f>IF('6 Calculation Check'!E11="FAIL","W/CM ERROR",'6 Calculation Check'!D11)</f>
        <v>0</v>
      </c>
    </row>
    <row r="109" spans="2:9" ht="15" thickBot="1" x14ac:dyDescent="0.35">
      <c r="B109" s="917" t="str">
        <f>'4 Mix Design'!A46</f>
        <v>COMBINED AGGREGATE GRADATION RESULTS</v>
      </c>
      <c r="C109" s="931"/>
      <c r="D109" s="931"/>
      <c r="E109" s="932"/>
      <c r="G109" s="894" t="s">
        <v>385</v>
      </c>
      <c r="H109" s="895"/>
      <c r="I109" s="653" t="str">
        <f>'3 Paste Quality'!B45</f>
        <v/>
      </c>
    </row>
    <row r="110" spans="2:9" ht="15" thickBot="1" x14ac:dyDescent="0.35">
      <c r="B110" s="909" t="s">
        <v>54</v>
      </c>
      <c r="C110" s="911" t="str">
        <f>'4 Mix Design'!$G$48</f>
        <v>Spec Defined Limits (% Pass)</v>
      </c>
      <c r="D110" s="909" t="str">
        <f>'4 Mix Design'!$I$48</f>
        <v>Combined % Passing</v>
      </c>
      <c r="E110" s="913" t="s">
        <v>50</v>
      </c>
      <c r="I110" s="220"/>
    </row>
    <row r="111" spans="2:9" ht="15" thickBot="1" x14ac:dyDescent="0.35">
      <c r="B111" s="910"/>
      <c r="C111" s="912"/>
      <c r="D111" s="910"/>
      <c r="E111" s="914"/>
      <c r="G111" s="873" t="s">
        <v>433</v>
      </c>
      <c r="H111" s="874"/>
      <c r="I111" s="875"/>
    </row>
    <row r="112" spans="2:9" ht="15" thickBot="1" x14ac:dyDescent="0.35">
      <c r="B112" s="234" t="str">
        <f>'4 Mix Design'!A52</f>
        <v>2"</v>
      </c>
      <c r="C112" s="235" t="str">
        <f>_xlfn.CONCAT('6 Calculation Check'!G10,"-",'6 Calculation Check'!H10)</f>
        <v>100-100</v>
      </c>
      <c r="D112" s="236" t="str">
        <f>'6 Calculation Check'!I10</f>
        <v>GRAD. ERROR</v>
      </c>
      <c r="E112" s="237" t="str">
        <f>'6 Calculation Check'!J10</f>
        <v>VOL. ERROR</v>
      </c>
      <c r="G112" s="139" t="s">
        <v>434</v>
      </c>
      <c r="H112" s="902" t="str">
        <f>IF(AND(B39=0,I39="PASS"),"HES Mix ID?",IF(B39=0,"-",B39))</f>
        <v>-</v>
      </c>
      <c r="I112" s="903"/>
    </row>
    <row r="113" spans="2:9" ht="15" thickBot="1" x14ac:dyDescent="0.35">
      <c r="B113" s="234" t="str">
        <f>'4 Mix Design'!A53</f>
        <v>1 1/2"</v>
      </c>
      <c r="C113" s="235" t="str">
        <f>_xlfn.CONCAT('6 Calculation Check'!G11,"-",'6 Calculation Check'!H11)</f>
        <v>100-96</v>
      </c>
      <c r="D113" s="236" t="str">
        <f>'6 Calculation Check'!I11</f>
        <v>GRAD. ERROR</v>
      </c>
      <c r="E113" s="239" t="str">
        <f>'6 Calculation Check'!J10</f>
        <v>VOL. ERROR</v>
      </c>
      <c r="G113" s="139" t="s">
        <v>435</v>
      </c>
      <c r="H113" s="902" t="str">
        <f>IF(I39="-","-",IF(AND(OR('Optimize Tool'!Q11=TRUE,'Optimize Tool'!R11=TRUE),D39=0),"HES MRS #?",D39))</f>
        <v>-</v>
      </c>
      <c r="I113" s="903"/>
    </row>
    <row r="114" spans="2:9" ht="15" thickBot="1" x14ac:dyDescent="0.35">
      <c r="B114" s="234" t="str">
        <f>'4 Mix Design'!A54</f>
        <v>1"</v>
      </c>
      <c r="C114" s="235" t="str">
        <f>_xlfn.CONCAT('6 Calculation Check'!G12,"-",'6 Calculation Check'!H12)</f>
        <v>99-70</v>
      </c>
      <c r="D114" s="236" t="str">
        <f>'6 Calculation Check'!I12</f>
        <v>GRAD. ERROR</v>
      </c>
      <c r="E114" s="239" t="str">
        <f>'6 Calculation Check'!J11</f>
        <v>VOL. ERROR</v>
      </c>
      <c r="G114" s="139" t="s">
        <v>436</v>
      </c>
      <c r="H114" s="902" t="str">
        <f>IF(AND('Optimize Tool'!Q11=FALSE,'Optimize Tool'!R11=FALSE,OR(B39&gt;0,D39&gt;0)),"Select HES Modification",IF('Optimize Tool'!Q11=TRUE,"Type III Cement",IF(AND('Optimize Tool'!R11=TRUE,'1 Certification'!G39=0),"Add. Cement?",IF(H117="FAIL","FAIL",IF(AND('Optimize Tool'!R11=TRUE,G39&gt;0),_xlfn.CONCAT("Additional Cement: ",'1 Certification'!G39," lbs./cy"),"-")))))</f>
        <v>-</v>
      </c>
      <c r="I114" s="903"/>
    </row>
    <row r="115" spans="2:9" ht="15" thickBot="1" x14ac:dyDescent="0.35">
      <c r="B115" s="234" t="str">
        <f>'4 Mix Design'!A55</f>
        <v>3/4"</v>
      </c>
      <c r="C115" s="235" t="str">
        <f>_xlfn.CONCAT('6 Calculation Check'!G13,"-",'6 Calculation Check'!H13)</f>
        <v>96-55</v>
      </c>
      <c r="D115" s="236" t="str">
        <f>'6 Calculation Check'!I13</f>
        <v>GRAD. ERROR</v>
      </c>
      <c r="E115" s="239" t="str">
        <f>'6 Calculation Check'!J12</f>
        <v>VOL. ERROR</v>
      </c>
      <c r="G115" s="178" t="s">
        <v>218</v>
      </c>
      <c r="H115" s="902" t="str">
        <f>IF(I39="-","-",IF(H39=0,I39,H39))</f>
        <v>-</v>
      </c>
      <c r="I115" s="903"/>
    </row>
    <row r="116" spans="2:9" ht="15" thickBot="1" x14ac:dyDescent="0.35">
      <c r="B116" s="234" t="str">
        <f>'4 Mix Design'!A56</f>
        <v>1/2"</v>
      </c>
      <c r="C116" s="235" t="str">
        <f>_xlfn.CONCAT('6 Calculation Check'!G14,"-",'6 Calculation Check'!H14)</f>
        <v>86-48</v>
      </c>
      <c r="D116" s="236" t="str">
        <f>'6 Calculation Check'!I14</f>
        <v>GRAD. ERROR</v>
      </c>
      <c r="E116" s="239" t="str">
        <f>'6 Calculation Check'!J13</f>
        <v>VOL. ERROR</v>
      </c>
      <c r="G116" s="898" t="s">
        <v>546</v>
      </c>
      <c r="H116" s="899"/>
      <c r="I116" s="153" t="str">
        <f>IF(G39=0,"-",IF(AND(I39="-",'Optimize Tool'!R11=FALSE),"-",IF(I39&lt;&gt;"PASS","FAIL",G39+H100)))</f>
        <v>-</v>
      </c>
    </row>
    <row r="117" spans="2:9" ht="15" thickBot="1" x14ac:dyDescent="0.35">
      <c r="B117" s="234" t="str">
        <f>'4 Mix Design'!A57</f>
        <v>3/8"</v>
      </c>
      <c r="C117" s="235" t="str">
        <f>_xlfn.CONCAT('6 Calculation Check'!G15,"-",'6 Calculation Check'!H15)</f>
        <v>77-38</v>
      </c>
      <c r="D117" s="236" t="str">
        <f>'6 Calculation Check'!I15</f>
        <v>GRAD. ERROR</v>
      </c>
      <c r="E117" s="239" t="str">
        <f>'6 Calculation Check'!J14</f>
        <v>VOL. ERROR</v>
      </c>
      <c r="G117" s="139" t="s">
        <v>437</v>
      </c>
      <c r="H117" s="900" t="str">
        <f>I39</f>
        <v>-</v>
      </c>
      <c r="I117" s="901"/>
    </row>
    <row r="118" spans="2:9" ht="15" thickBot="1" x14ac:dyDescent="0.35">
      <c r="B118" s="234" t="str">
        <f>'4 Mix Design'!A58</f>
        <v># 4</v>
      </c>
      <c r="C118" s="235" t="str">
        <f>_xlfn.CONCAT('6 Calculation Check'!G16,"-",'6 Calculation Check'!H16)</f>
        <v>60-30</v>
      </c>
      <c r="D118" s="236" t="str">
        <f>'6 Calculation Check'!I16</f>
        <v>GRAD. ERROR</v>
      </c>
      <c r="E118" s="239" t="str">
        <f>'6 Calculation Check'!J15</f>
        <v>VOL. ERROR</v>
      </c>
      <c r="I118" s="220"/>
    </row>
    <row r="119" spans="2:9" ht="15" thickBot="1" x14ac:dyDescent="0.35">
      <c r="B119" s="234" t="str">
        <f>'4 Mix Design'!A59</f>
        <v># 8</v>
      </c>
      <c r="C119" s="235" t="str">
        <f>_xlfn.CONCAT('6 Calculation Check'!G17,"-",'6 Calculation Check'!H17)</f>
        <v>53-25</v>
      </c>
      <c r="D119" s="236" t="str">
        <f>'6 Calculation Check'!I17</f>
        <v>GRAD. ERROR</v>
      </c>
      <c r="E119" s="239" t="str">
        <f>'6 Calculation Check'!J16</f>
        <v>VOL. ERROR</v>
      </c>
      <c r="G119" s="873" t="s">
        <v>444</v>
      </c>
      <c r="H119" s="874"/>
      <c r="I119" s="875"/>
    </row>
    <row r="120" spans="2:9" ht="16.2" thickBot="1" x14ac:dyDescent="0.35">
      <c r="B120" s="234" t="str">
        <f>'4 Mix Design'!A60</f>
        <v># 16</v>
      </c>
      <c r="C120" s="235" t="str">
        <f>_xlfn.CONCAT('6 Calculation Check'!G18,"-",'6 Calculation Check'!H18)</f>
        <v>44-20</v>
      </c>
      <c r="D120" s="236" t="str">
        <f>'6 Calculation Check'!I18</f>
        <v>GRAD. ERROR</v>
      </c>
      <c r="E120" s="239" t="str">
        <f>'6 Calculation Check'!J17</f>
        <v>VOL. ERROR</v>
      </c>
      <c r="G120" s="703" t="s">
        <v>445</v>
      </c>
      <c r="H120" s="671" t="str">
        <f>'6 Calculation Check'!E13</f>
        <v>SAM #?</v>
      </c>
      <c r="I120" s="672"/>
    </row>
    <row r="121" spans="2:9" ht="15" thickBot="1" x14ac:dyDescent="0.35">
      <c r="B121" s="234" t="str">
        <f>'4 Mix Design'!A61</f>
        <v># 30</v>
      </c>
      <c r="C121" s="235" t="str">
        <f>_xlfn.CONCAT('6 Calculation Check'!G19,"-",'6 Calculation Check'!H19)</f>
        <v>32-10</v>
      </c>
      <c r="D121" s="236" t="str">
        <f>'6 Calculation Check'!I19</f>
        <v>GRAD. ERROR</v>
      </c>
      <c r="E121" s="239" t="str">
        <f>'6 Calculation Check'!J18</f>
        <v>VOL. ERROR</v>
      </c>
      <c r="G121" s="139" t="s">
        <v>278</v>
      </c>
      <c r="H121" s="669" t="str">
        <f>IF('3 Paste Quality'!C25="","GRADE ?",'3 Paste Quality'!C25)</f>
        <v>GRADE ?</v>
      </c>
      <c r="I121" s="667"/>
    </row>
    <row r="122" spans="2:9" ht="15" thickBot="1" x14ac:dyDescent="0.35">
      <c r="B122" s="234" t="str">
        <f>'4 Mix Design'!A62</f>
        <v># 50</v>
      </c>
      <c r="C122" s="235" t="str">
        <f>_xlfn.CONCAT('6 Calculation Check'!G20,"-",'6 Calculation Check'!H20)</f>
        <v>14-2</v>
      </c>
      <c r="D122" s="236" t="str">
        <f>'6 Calculation Check'!I20</f>
        <v>GRAD. ERROR</v>
      </c>
      <c r="E122" s="239" t="str">
        <f>'6 Calculation Check'!J19</f>
        <v>VOL. ERROR</v>
      </c>
      <c r="G122" s="139" t="s">
        <v>299</v>
      </c>
      <c r="H122" s="670" t="str">
        <f>IF('3 Paste Quality'!C26="","CLASS ?",'3 Paste Quality'!C26)</f>
        <v>CLASS ?</v>
      </c>
      <c r="I122" s="668"/>
    </row>
    <row r="123" spans="2:9" x14ac:dyDescent="0.3">
      <c r="B123" s="234" t="str">
        <f>'4 Mix Design'!A63</f>
        <v># 100</v>
      </c>
      <c r="C123" s="235" t="str">
        <f>_xlfn.CONCAT('6 Calculation Check'!G21,"-",'6 Calculation Check'!H21)</f>
        <v>6-0</v>
      </c>
      <c r="D123" s="236" t="str">
        <f>'6 Calculation Check'!I21</f>
        <v>GRAD. ERROR</v>
      </c>
      <c r="E123" s="239" t="str">
        <f>'6 Calculation Check'!J20</f>
        <v>VOL. ERROR</v>
      </c>
      <c r="I123" s="220"/>
    </row>
    <row r="124" spans="2:9" ht="15" thickBot="1" x14ac:dyDescent="0.35">
      <c r="B124" s="249" t="str">
        <f>'4 Mix Design'!A64</f>
        <v># 200</v>
      </c>
      <c r="C124" s="250" t="str">
        <f>_xlfn.CONCAT('6 Calculation Check'!G22,"-",'6 Calculation Check'!H22)</f>
        <v>2.3-0</v>
      </c>
      <c r="D124" s="251" t="str">
        <f>'6 Calculation Check'!I22</f>
        <v>GRAD. ERROR</v>
      </c>
      <c r="E124" s="252" t="str">
        <f>'6 Calculation Check'!J21</f>
        <v>VOL. ERROR</v>
      </c>
      <c r="I124" s="220"/>
    </row>
    <row r="125" spans="2:9" x14ac:dyDescent="0.3">
      <c r="B125" s="254"/>
      <c r="C125" s="255"/>
      <c r="D125" s="256"/>
      <c r="E125" s="257"/>
      <c r="I125" s="220"/>
    </row>
    <row r="126" spans="2:9" x14ac:dyDescent="0.3">
      <c r="B126" s="254"/>
      <c r="C126" s="255"/>
      <c r="D126" s="256"/>
      <c r="E126" s="257"/>
      <c r="I126" s="220"/>
    </row>
    <row r="127" spans="2:9" ht="15" thickBot="1" x14ac:dyDescent="0.35">
      <c r="B127" s="258"/>
      <c r="C127" s="250"/>
      <c r="D127" s="259"/>
      <c r="E127" s="260"/>
      <c r="F127" s="228"/>
      <c r="G127" s="259"/>
      <c r="H127" s="261"/>
      <c r="I127" s="229"/>
    </row>
    <row r="128" spans="2:9" ht="13.2" customHeight="1" x14ac:dyDescent="0.3">
      <c r="B128" s="262"/>
      <c r="C128" s="263"/>
      <c r="D128" s="264"/>
      <c r="E128" s="264"/>
      <c r="F128" s="232"/>
      <c r="G128" s="264"/>
      <c r="H128" s="264"/>
      <c r="I128" s="265"/>
    </row>
    <row r="129" spans="2:9" ht="16.2" thickBot="1" x14ac:dyDescent="0.35">
      <c r="B129" s="718" t="s">
        <v>447</v>
      </c>
      <c r="G129" s="267"/>
      <c r="H129" s="266"/>
      <c r="I129" s="268"/>
    </row>
    <row r="130" spans="2:9" x14ac:dyDescent="0.3">
      <c r="B130" s="876"/>
      <c r="C130" s="877"/>
      <c r="D130" s="877"/>
      <c r="E130" s="878"/>
      <c r="F130" s="885" t="s">
        <v>448</v>
      </c>
      <c r="G130" s="886"/>
      <c r="H130" s="886"/>
      <c r="I130" s="268"/>
    </row>
    <row r="131" spans="2:9" ht="15" customHeight="1" x14ac:dyDescent="0.3">
      <c r="B131" s="879"/>
      <c r="C131" s="880"/>
      <c r="D131" s="880"/>
      <c r="E131" s="881"/>
      <c r="F131" s="885"/>
      <c r="G131" s="887"/>
      <c r="H131" s="887"/>
      <c r="I131" s="673"/>
    </row>
    <row r="132" spans="2:9" ht="15.6" customHeight="1" x14ac:dyDescent="0.3">
      <c r="B132" s="879"/>
      <c r="C132" s="880"/>
      <c r="D132" s="880"/>
      <c r="E132" s="881"/>
      <c r="G132" s="888" t="s">
        <v>449</v>
      </c>
      <c r="H132" s="888"/>
      <c r="I132" s="890" t="s">
        <v>14</v>
      </c>
    </row>
    <row r="133" spans="2:9" ht="15" customHeight="1" thickBot="1" x14ac:dyDescent="0.35">
      <c r="B133" s="882"/>
      <c r="C133" s="883"/>
      <c r="D133" s="883"/>
      <c r="E133" s="884"/>
      <c r="G133" s="889"/>
      <c r="H133" s="889"/>
      <c r="I133" s="891"/>
    </row>
    <row r="134" spans="2:9" ht="15" thickBot="1" x14ac:dyDescent="0.35">
      <c r="B134" s="269"/>
      <c r="C134" s="228"/>
      <c r="D134" s="228"/>
      <c r="E134" s="228"/>
      <c r="F134" s="892" t="s">
        <v>365</v>
      </c>
      <c r="G134" s="892"/>
      <c r="H134" s="892"/>
      <c r="I134" s="893"/>
    </row>
    <row r="136" spans="2:9" x14ac:dyDescent="0.3">
      <c r="G136" s="674"/>
      <c r="H136" s="674"/>
      <c r="I136" s="674"/>
    </row>
  </sheetData>
  <sheetProtection selectLockedCells="1"/>
  <mergeCells count="186">
    <mergeCell ref="B70:E70"/>
    <mergeCell ref="F70:I70"/>
    <mergeCell ref="F60:G60"/>
    <mergeCell ref="B57:D57"/>
    <mergeCell ref="E57:G57"/>
    <mergeCell ref="H57:I57"/>
    <mergeCell ref="B69:E69"/>
    <mergeCell ref="F69:I69"/>
    <mergeCell ref="B68:E68"/>
    <mergeCell ref="F68:I68"/>
    <mergeCell ref="F65:G65"/>
    <mergeCell ref="H65:I65"/>
    <mergeCell ref="B66:C66"/>
    <mergeCell ref="D66:E66"/>
    <mergeCell ref="F66:G66"/>
    <mergeCell ref="H66:I66"/>
    <mergeCell ref="B65:C65"/>
    <mergeCell ref="D65:E65"/>
    <mergeCell ref="B63:I63"/>
    <mergeCell ref="B64:I64"/>
    <mergeCell ref="F67:I67"/>
    <mergeCell ref="B67:E67"/>
    <mergeCell ref="B53:I55"/>
    <mergeCell ref="B56:D56"/>
    <mergeCell ref="B49:D49"/>
    <mergeCell ref="E49:G49"/>
    <mergeCell ref="H49:I49"/>
    <mergeCell ref="B52:I52"/>
    <mergeCell ref="E59:G59"/>
    <mergeCell ref="B62:E62"/>
    <mergeCell ref="F62:I62"/>
    <mergeCell ref="B50:E50"/>
    <mergeCell ref="F50:G50"/>
    <mergeCell ref="E56:G56"/>
    <mergeCell ref="H59:I59"/>
    <mergeCell ref="B60:E60"/>
    <mergeCell ref="B58:D58"/>
    <mergeCell ref="E58:G58"/>
    <mergeCell ref="H58:I58"/>
    <mergeCell ref="F61:G61"/>
    <mergeCell ref="H56:I56"/>
    <mergeCell ref="B59:D59"/>
    <mergeCell ref="B51:E51"/>
    <mergeCell ref="F51:G51"/>
    <mergeCell ref="B61:E61"/>
    <mergeCell ref="D31:I31"/>
    <mergeCell ref="B26:C26"/>
    <mergeCell ref="B27:C27"/>
    <mergeCell ref="B36:E36"/>
    <mergeCell ref="B40:I40"/>
    <mergeCell ref="B35:E35"/>
    <mergeCell ref="F35:G35"/>
    <mergeCell ref="F36:G36"/>
    <mergeCell ref="B37:I37"/>
    <mergeCell ref="B38:C38"/>
    <mergeCell ref="E38:F38"/>
    <mergeCell ref="B39:C39"/>
    <mergeCell ref="E39:F39"/>
    <mergeCell ref="B33:G33"/>
    <mergeCell ref="H33:I33"/>
    <mergeCell ref="B34:G34"/>
    <mergeCell ref="H34:I34"/>
    <mergeCell ref="B46:D46"/>
    <mergeCell ref="E46:G46"/>
    <mergeCell ref="B47:D47"/>
    <mergeCell ref="E47:G47"/>
    <mergeCell ref="B48:D48"/>
    <mergeCell ref="B1:E1"/>
    <mergeCell ref="F1:I1"/>
    <mergeCell ref="B21:D21"/>
    <mergeCell ref="H21:I21"/>
    <mergeCell ref="H22:I22"/>
    <mergeCell ref="B10:I10"/>
    <mergeCell ref="H11:I11"/>
    <mergeCell ref="H12:I12"/>
    <mergeCell ref="B16:G16"/>
    <mergeCell ref="H16:I16"/>
    <mergeCell ref="H17:I17"/>
    <mergeCell ref="B28:C28"/>
    <mergeCell ref="B29:C29"/>
    <mergeCell ref="B3:I3"/>
    <mergeCell ref="F4:G4"/>
    <mergeCell ref="H4:I4"/>
    <mergeCell ref="B7:E7"/>
    <mergeCell ref="F19:G19"/>
    <mergeCell ref="B31:C31"/>
    <mergeCell ref="F7:I7"/>
    <mergeCell ref="B8:E8"/>
    <mergeCell ref="B30:C30"/>
    <mergeCell ref="D26:I26"/>
    <mergeCell ref="D27:I27"/>
    <mergeCell ref="D28:I28"/>
    <mergeCell ref="D29:I29"/>
    <mergeCell ref="D30:I30"/>
    <mergeCell ref="B2:I2"/>
    <mergeCell ref="F8:I8"/>
    <mergeCell ref="B9:E9"/>
    <mergeCell ref="F9:I9"/>
    <mergeCell ref="F5:G5"/>
    <mergeCell ref="H5:I5"/>
    <mergeCell ref="B6:E6"/>
    <mergeCell ref="F6:I6"/>
    <mergeCell ref="B4:D4"/>
    <mergeCell ref="B5:D5"/>
    <mergeCell ref="B18:E18"/>
    <mergeCell ref="B19:E19"/>
    <mergeCell ref="B20:I20"/>
    <mergeCell ref="F21:G21"/>
    <mergeCell ref="B22:D22"/>
    <mergeCell ref="F22:G22"/>
    <mergeCell ref="B73:E73"/>
    <mergeCell ref="G108:H108"/>
    <mergeCell ref="C74:D74"/>
    <mergeCell ref="B80:D80"/>
    <mergeCell ref="G88:G89"/>
    <mergeCell ref="B11:G11"/>
    <mergeCell ref="B12:G12"/>
    <mergeCell ref="B13:E13"/>
    <mergeCell ref="F13:G13"/>
    <mergeCell ref="B14:E14"/>
    <mergeCell ref="F14:G14"/>
    <mergeCell ref="B15:I15"/>
    <mergeCell ref="B17:G17"/>
    <mergeCell ref="B41:I45"/>
    <mergeCell ref="B32:C32"/>
    <mergeCell ref="D32:I32"/>
    <mergeCell ref="F18:G18"/>
    <mergeCell ref="B24:C24"/>
    <mergeCell ref="D24:I24"/>
    <mergeCell ref="B25:C25"/>
    <mergeCell ref="D25:I25"/>
    <mergeCell ref="B23:I23"/>
    <mergeCell ref="E48:G48"/>
    <mergeCell ref="H48:I48"/>
    <mergeCell ref="G74:G76"/>
    <mergeCell ref="H74:H76"/>
    <mergeCell ref="I74:I76"/>
    <mergeCell ref="G77:G78"/>
    <mergeCell ref="G79:G80"/>
    <mergeCell ref="G81:G82"/>
    <mergeCell ref="G83:G84"/>
    <mergeCell ref="H77:H78"/>
    <mergeCell ref="H79:H80"/>
    <mergeCell ref="H81:H82"/>
    <mergeCell ref="H83:H84"/>
    <mergeCell ref="I77:I78"/>
    <mergeCell ref="B71:I71"/>
    <mergeCell ref="B110:B111"/>
    <mergeCell ref="C110:C111"/>
    <mergeCell ref="D110:D111"/>
    <mergeCell ref="E110:E111"/>
    <mergeCell ref="I93:I94"/>
    <mergeCell ref="B83:E83"/>
    <mergeCell ref="C75:D75"/>
    <mergeCell ref="C76:D76"/>
    <mergeCell ref="C77:D77"/>
    <mergeCell ref="C78:D78"/>
    <mergeCell ref="C79:D79"/>
    <mergeCell ref="I81:I82"/>
    <mergeCell ref="I83:I84"/>
    <mergeCell ref="I79:I80"/>
    <mergeCell ref="G86:I86"/>
    <mergeCell ref="H88:H89"/>
    <mergeCell ref="G93:G94"/>
    <mergeCell ref="F92:I92"/>
    <mergeCell ref="G111:I111"/>
    <mergeCell ref="B109:E109"/>
    <mergeCell ref="H93:H94"/>
    <mergeCell ref="F93:F94"/>
    <mergeCell ref="G73:I73"/>
    <mergeCell ref="G119:I119"/>
    <mergeCell ref="B130:E133"/>
    <mergeCell ref="F130:F131"/>
    <mergeCell ref="G130:H131"/>
    <mergeCell ref="G132:H133"/>
    <mergeCell ref="I132:I133"/>
    <mergeCell ref="F134:I134"/>
    <mergeCell ref="G109:H109"/>
    <mergeCell ref="I88:I89"/>
    <mergeCell ref="G116:H116"/>
    <mergeCell ref="H117:I117"/>
    <mergeCell ref="H112:I112"/>
    <mergeCell ref="H113:I113"/>
    <mergeCell ref="H114:I114"/>
    <mergeCell ref="H115:I115"/>
    <mergeCell ref="G107:H107"/>
  </mergeCells>
  <conditionalFormatting sqref="D112:D127">
    <cfRule type="cellIs" dxfId="136" priority="44" operator="equal">
      <formula>"GRAD. ERROR"</formula>
    </cfRule>
  </conditionalFormatting>
  <conditionalFormatting sqref="D112:E127">
    <cfRule type="cellIs" dxfId="135" priority="29" operator="equal">
      <formula>"AGG. ERROR"</formula>
    </cfRule>
    <cfRule type="cellIs" dxfId="134" priority="51" operator="equal">
      <formula>"ERROR"</formula>
    </cfRule>
  </conditionalFormatting>
  <conditionalFormatting sqref="E112:E124">
    <cfRule type="cellIs" dxfId="133" priority="22" operator="equal">
      <formula>"W/CM ERROR"</formula>
    </cfRule>
  </conditionalFormatting>
  <conditionalFormatting sqref="E112:E127">
    <cfRule type="containsText" dxfId="132" priority="65" stopIfTrue="1" operator="containsText" text="Fail">
      <formula>NOT(ISERROR(SEARCH("Fail",E112)))</formula>
    </cfRule>
    <cfRule type="containsText" dxfId="131" priority="66" operator="containsText" text="Pass">
      <formula>NOT(ISERROR(SEARCH("Pass",E112)))</formula>
    </cfRule>
    <cfRule type="cellIs" dxfId="130" priority="35" operator="equal">
      <formula>"VOL. ERROR"</formula>
    </cfRule>
    <cfRule type="cellIs" dxfId="129" priority="43" operator="equal">
      <formula>"CM ERROR"</formula>
    </cfRule>
    <cfRule type="containsBlanks" priority="62" stopIfTrue="1">
      <formula>LEN(TRIM(E112))=0</formula>
    </cfRule>
  </conditionalFormatting>
  <conditionalFormatting sqref="G88:H89">
    <cfRule type="cellIs" dxfId="128" priority="20" operator="equal">
      <formula>"Source Type?"</formula>
    </cfRule>
  </conditionalFormatting>
  <conditionalFormatting sqref="H95:H105 I107">
    <cfRule type="cellIs" dxfId="127" priority="34" operator="equal">
      <formula>"VOL. ERROR"</formula>
    </cfRule>
  </conditionalFormatting>
  <conditionalFormatting sqref="H95:H105">
    <cfRule type="cellIs" dxfId="126" priority="32" operator="equal">
      <formula>"CM ERROR"</formula>
    </cfRule>
  </conditionalFormatting>
  <conditionalFormatting sqref="H106">
    <cfRule type="cellIs" dxfId="125" priority="31" operator="equal">
      <formula>"AIR ?"</formula>
    </cfRule>
  </conditionalFormatting>
  <conditionalFormatting sqref="H120">
    <cfRule type="cellIs" dxfId="124" priority="6" operator="equal">
      <formula>"SAM #?"</formula>
    </cfRule>
    <cfRule type="cellIs" dxfId="123" priority="7" operator="notEqual">
      <formula>"SAM #?"</formula>
    </cfRule>
  </conditionalFormatting>
  <conditionalFormatting sqref="H121">
    <cfRule type="cellIs" dxfId="122" priority="39" operator="notEqual">
      <formula>"GRADE ?"</formula>
    </cfRule>
    <cfRule type="cellIs" dxfId="121" priority="40" operator="equal">
      <formula>"GRADE ?"</formula>
    </cfRule>
  </conditionalFormatting>
  <conditionalFormatting sqref="H122">
    <cfRule type="cellIs" dxfId="120" priority="37" operator="notEqual">
      <formula>"CLASS ?"</formula>
    </cfRule>
    <cfRule type="cellIs" dxfId="119" priority="38" operator="equal">
      <formula>"CLASS ?"</formula>
    </cfRule>
  </conditionalFormatting>
  <conditionalFormatting sqref="H127">
    <cfRule type="cellIs" dxfId="118" priority="36" operator="equal">
      <formula>"W/CM ERROR"</formula>
    </cfRule>
  </conditionalFormatting>
  <conditionalFormatting sqref="H112:I112">
    <cfRule type="cellIs" dxfId="117" priority="9" operator="equal">
      <formula>"HES Mix ID?"</formula>
    </cfRule>
  </conditionalFormatting>
  <conditionalFormatting sqref="H113:I113">
    <cfRule type="cellIs" dxfId="116" priority="8" operator="equal">
      <formula>"HES MRS #?"</formula>
    </cfRule>
  </conditionalFormatting>
  <conditionalFormatting sqref="H114:I114">
    <cfRule type="cellIs" dxfId="115" priority="2" operator="equal">
      <formula>"FAIL"</formula>
    </cfRule>
    <cfRule type="cellIs" dxfId="114" priority="3" operator="equal">
      <formula>"Add. Cement?"</formula>
    </cfRule>
  </conditionalFormatting>
  <conditionalFormatting sqref="H117:I117">
    <cfRule type="cellIs" dxfId="113" priority="4" operator="equal">
      <formula>"Select One Option"</formula>
    </cfRule>
    <cfRule type="cellIs" dxfId="112" priority="10" operator="equal">
      <formula>"Enter Add. Cement"</formula>
    </cfRule>
    <cfRule type="cellIs" dxfId="111" priority="11" operator="equal">
      <formula>"Remove Add. Cement"</formula>
    </cfRule>
    <cfRule type="cellIs" dxfId="110" priority="12" operator="equal">
      <formula>"HES Modification?"</formula>
    </cfRule>
    <cfRule type="cellIs" dxfId="109" priority="13" operator="equal">
      <formula>"FAIL"</formula>
    </cfRule>
    <cfRule type="cellIs" dxfId="108" priority="14" operator="equal">
      <formula>"PASS"</formula>
    </cfRule>
  </conditionalFormatting>
  <conditionalFormatting sqref="I39">
    <cfRule type="cellIs" dxfId="107" priority="5" operator="equal">
      <formula>"Enter Add. Cement"</formula>
    </cfRule>
    <cfRule type="cellIs" dxfId="106" priority="15" operator="equal">
      <formula>"Select One Option"</formula>
    </cfRule>
    <cfRule type="cellIs" dxfId="105" priority="16" operator="equal">
      <formula>"HES Modification?"</formula>
    </cfRule>
    <cfRule type="cellIs" dxfId="104" priority="17" operator="equal">
      <formula>"Remove Add. Cement"</formula>
    </cfRule>
    <cfRule type="cellIs" dxfId="103" priority="19" operator="equal">
      <formula>"PASS"</formula>
    </cfRule>
    <cfRule type="cellIs" dxfId="102" priority="18" operator="equal">
      <formula>"FAIL"</formula>
    </cfRule>
  </conditionalFormatting>
  <conditionalFormatting sqref="I95:I99">
    <cfRule type="cellIs" dxfId="101" priority="28" operator="equal">
      <formula>"AGG. ERROR"</formula>
    </cfRule>
  </conditionalFormatting>
  <conditionalFormatting sqref="I100:I106">
    <cfRule type="cellIs" dxfId="100" priority="27" operator="equal">
      <formula>"CM ERROR"</formula>
    </cfRule>
  </conditionalFormatting>
  <conditionalFormatting sqref="I105">
    <cfRule type="cellIs" dxfId="99" priority="23" operator="equal">
      <formula>"W/CM ERROR"</formula>
    </cfRule>
  </conditionalFormatting>
  <conditionalFormatting sqref="I108">
    <cfRule type="cellIs" dxfId="98" priority="24" operator="equal">
      <formula>"W/CM ERROR"</formula>
    </cfRule>
  </conditionalFormatting>
  <conditionalFormatting sqref="I116">
    <cfRule type="cellIs" dxfId="97" priority="1" operator="equal">
      <formula>"FAIL"</formula>
    </cfRule>
  </conditionalFormatting>
  <printOptions horizontalCentered="1"/>
  <pageMargins left="0.25" right="0.25" top="0.5" bottom="0.5" header="0.3" footer="0.3"/>
  <pageSetup scale="62" fitToHeight="2" orientation="portrait" r:id="rId1"/>
  <headerFooter>
    <oddFooter>&amp;L&amp;9&amp;A&amp;C&amp;9&amp;P of &amp;N&amp;R&amp;9&amp;F</oddFooter>
  </headerFooter>
  <rowBreaks count="1" manualBreakCount="1">
    <brk id="61" max="9" man="1"/>
  </rowBreaks>
  <ignoredErrors>
    <ignoredError sqref="D6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148" r:id="rId4" name="Check Box 4">
              <controlPr locked="0" defaultSize="0" autoFill="0" autoLine="0" autoPict="0">
                <anchor moveWithCells="1">
                  <from>
                    <xdr:col>1</xdr:col>
                    <xdr:colOff>0</xdr:colOff>
                    <xdr:row>89</xdr:row>
                    <xdr:rowOff>144780</xdr:rowOff>
                  </from>
                  <to>
                    <xdr:col>2</xdr:col>
                    <xdr:colOff>670560</xdr:colOff>
                    <xdr:row>91</xdr:row>
                    <xdr:rowOff>68580</xdr:rowOff>
                  </to>
                </anchor>
              </controlPr>
            </control>
          </mc:Choice>
        </mc:AlternateContent>
        <mc:AlternateContent xmlns:mc="http://schemas.openxmlformats.org/markup-compatibility/2006">
          <mc:Choice Requires="x14">
            <control shapeId="6149" r:id="rId5" name="Check Box 5">
              <controlPr defaultSize="0" autoFill="0" autoLine="0" autoPict="0">
                <anchor moveWithCells="1">
                  <from>
                    <xdr:col>8</xdr:col>
                    <xdr:colOff>0</xdr:colOff>
                    <xdr:row>119</xdr:row>
                    <xdr:rowOff>22860</xdr:rowOff>
                  </from>
                  <to>
                    <xdr:col>8</xdr:col>
                    <xdr:colOff>1089660</xdr:colOff>
                    <xdr:row>119</xdr:row>
                    <xdr:rowOff>190500</xdr:rowOff>
                  </to>
                </anchor>
              </controlPr>
            </control>
          </mc:Choice>
        </mc:AlternateContent>
        <mc:AlternateContent xmlns:mc="http://schemas.openxmlformats.org/markup-compatibility/2006">
          <mc:Choice Requires="x14">
            <control shapeId="6150" r:id="rId6" name="Check Box 6">
              <controlPr defaultSize="0" autoFill="0" autoLine="0" autoPict="0">
                <anchor moveWithCells="1">
                  <from>
                    <xdr:col>8</xdr:col>
                    <xdr:colOff>0</xdr:colOff>
                    <xdr:row>119</xdr:row>
                    <xdr:rowOff>205740</xdr:rowOff>
                  </from>
                  <to>
                    <xdr:col>8</xdr:col>
                    <xdr:colOff>1120140</xdr:colOff>
                    <xdr:row>120</xdr:row>
                    <xdr:rowOff>167640</xdr:rowOff>
                  </to>
                </anchor>
              </controlPr>
            </control>
          </mc:Choice>
        </mc:AlternateContent>
        <mc:AlternateContent xmlns:mc="http://schemas.openxmlformats.org/markup-compatibility/2006">
          <mc:Choice Requires="x14">
            <control shapeId="6151" r:id="rId7" name="Check Box 7">
              <controlPr defaultSize="0" autoFill="0" autoLine="0" autoPict="0">
                <anchor moveWithCells="1">
                  <from>
                    <xdr:col>8</xdr:col>
                    <xdr:colOff>0</xdr:colOff>
                    <xdr:row>120</xdr:row>
                    <xdr:rowOff>182880</xdr:rowOff>
                  </from>
                  <to>
                    <xdr:col>9</xdr:col>
                    <xdr:colOff>297180</xdr:colOff>
                    <xdr:row>121</xdr:row>
                    <xdr:rowOff>160020</xdr:rowOff>
                  </to>
                </anchor>
              </controlPr>
            </control>
          </mc:Choice>
        </mc:AlternateContent>
        <mc:AlternateContent xmlns:mc="http://schemas.openxmlformats.org/markup-compatibility/2006">
          <mc:Choice Requires="x14">
            <control shapeId="6152" r:id="rId8" name="Check Box 8">
              <controlPr defaultSize="0" autoFill="0" autoLine="0" autoPict="0">
                <anchor moveWithCells="1">
                  <from>
                    <xdr:col>1</xdr:col>
                    <xdr:colOff>0</xdr:colOff>
                    <xdr:row>126</xdr:row>
                    <xdr:rowOff>99060</xdr:rowOff>
                  </from>
                  <to>
                    <xdr:col>3</xdr:col>
                    <xdr:colOff>914400</xdr:colOff>
                    <xdr:row>128</xdr:row>
                    <xdr:rowOff>114300</xdr:rowOff>
                  </to>
                </anchor>
              </controlPr>
            </control>
          </mc:Choice>
        </mc:AlternateContent>
        <mc:AlternateContent xmlns:mc="http://schemas.openxmlformats.org/markup-compatibility/2006">
          <mc:Choice Requires="x14">
            <control shapeId="6154" r:id="rId9" name="Check Box 10">
              <controlPr defaultSize="0" autoFill="0" autoLine="0" autoPict="0">
                <anchor moveWithCells="1">
                  <from>
                    <xdr:col>4</xdr:col>
                    <xdr:colOff>38100</xdr:colOff>
                    <xdr:row>38</xdr:row>
                    <xdr:rowOff>0</xdr:rowOff>
                  </from>
                  <to>
                    <xdr:col>4</xdr:col>
                    <xdr:colOff>1028700</xdr:colOff>
                    <xdr:row>38</xdr:row>
                    <xdr:rowOff>182880</xdr:rowOff>
                  </to>
                </anchor>
              </controlPr>
            </control>
          </mc:Choice>
        </mc:AlternateContent>
        <mc:AlternateContent xmlns:mc="http://schemas.openxmlformats.org/markup-compatibility/2006">
          <mc:Choice Requires="x14">
            <control shapeId="6155" r:id="rId10" name="Check Box 11">
              <controlPr defaultSize="0" autoFill="0" autoLine="0" autoPict="0">
                <anchor moveWithCells="1">
                  <from>
                    <xdr:col>4</xdr:col>
                    <xdr:colOff>1028700</xdr:colOff>
                    <xdr:row>38</xdr:row>
                    <xdr:rowOff>30480</xdr:rowOff>
                  </from>
                  <to>
                    <xdr:col>5</xdr:col>
                    <xdr:colOff>899160</xdr:colOff>
                    <xdr:row>38</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D2380C5-B45B-48AD-87CF-C1A1E146A84A}">
          <x14:formula1>
            <xm:f>'5 Agg Analysis'!$AG$43:$AG$45</xm:f>
          </x14:formula1>
          <xm:sqref>H39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357CD-A743-4873-95FF-D8929B010005}">
  <sheetPr>
    <pageSetUpPr fitToPage="1"/>
  </sheetPr>
  <dimension ref="B1:M192"/>
  <sheetViews>
    <sheetView tabSelected="1" workbookViewId="0">
      <selection activeCell="B10" sqref="B10:D10"/>
    </sheetView>
  </sheetViews>
  <sheetFormatPr defaultColWidth="8.6640625" defaultRowHeight="14.4" x14ac:dyDescent="0.3"/>
  <cols>
    <col min="1" max="1" width="8.5546875" customWidth="1"/>
    <col min="2" max="2" width="11.6640625" customWidth="1"/>
    <col min="3" max="3" width="19.88671875" customWidth="1"/>
    <col min="4" max="4" width="21.6640625" customWidth="1"/>
    <col min="5" max="5" width="19.33203125" customWidth="1"/>
    <col min="6" max="6" width="15.6640625" customWidth="1"/>
    <col min="7" max="7" width="24.44140625" bestFit="1" customWidth="1"/>
    <col min="8" max="8" width="15.5546875" customWidth="1"/>
    <col min="9" max="9" width="17.6640625" customWidth="1"/>
    <col min="10" max="10" width="8.5546875" customWidth="1"/>
    <col min="11" max="11" width="8.88671875" customWidth="1"/>
  </cols>
  <sheetData>
    <row r="1" spans="2:12" ht="16.2" thickBot="1" x14ac:dyDescent="0.35">
      <c r="B1" s="1309" t="s">
        <v>386</v>
      </c>
      <c r="C1" s="1310"/>
      <c r="D1" s="1310"/>
      <c r="E1" s="1310"/>
      <c r="F1" s="1310"/>
      <c r="G1" s="1311" t="s">
        <v>387</v>
      </c>
      <c r="H1" s="1311"/>
      <c r="I1" s="1312"/>
    </row>
    <row r="2" spans="2:12" ht="16.2" customHeight="1" x14ac:dyDescent="0.3">
      <c r="B2" s="1318" t="e">
        <f>[1]Directions!#REF!</f>
        <v>#REF!</v>
      </c>
      <c r="C2" s="1319"/>
      <c r="D2" s="1319"/>
      <c r="E2" s="1319"/>
      <c r="F2" s="1319"/>
      <c r="G2" s="1319"/>
      <c r="H2" s="1319"/>
      <c r="I2" s="1320"/>
    </row>
    <row r="3" spans="2:12" ht="15.6" x14ac:dyDescent="0.3">
      <c r="B3" s="1321" t="s">
        <v>676</v>
      </c>
      <c r="C3" s="1322"/>
      <c r="D3" s="1322" t="str">
        <f>IF(E10&gt;0,E10,"")</f>
        <v/>
      </c>
      <c r="E3" s="1323"/>
      <c r="F3" s="1323"/>
      <c r="G3" s="1324"/>
      <c r="H3" s="1324"/>
      <c r="I3" s="1325"/>
    </row>
    <row r="4" spans="2:12" ht="15.6" x14ac:dyDescent="0.3">
      <c r="B4" s="1321" t="s">
        <v>677</v>
      </c>
      <c r="C4" s="1323"/>
      <c r="D4" s="1322" t="str">
        <f>IF(E47&gt;0,E47,"")</f>
        <v/>
      </c>
      <c r="E4" s="1323"/>
      <c r="F4" s="1323"/>
      <c r="G4" s="1324"/>
      <c r="H4" s="1324"/>
      <c r="I4" s="1325"/>
    </row>
    <row r="5" spans="2:12" ht="15.6" x14ac:dyDescent="0.3">
      <c r="B5" s="1321" t="s">
        <v>678</v>
      </c>
      <c r="C5" s="1323"/>
      <c r="D5" s="1322" t="str">
        <f>IF(E84&gt;0,E84,"")</f>
        <v/>
      </c>
      <c r="E5" s="1323"/>
      <c r="F5" s="1323"/>
      <c r="G5" s="1324"/>
      <c r="H5" s="1324"/>
      <c r="I5" s="1325"/>
    </row>
    <row r="6" spans="2:12" ht="15.6" x14ac:dyDescent="0.3">
      <c r="B6" s="1321" t="s">
        <v>679</v>
      </c>
      <c r="C6" s="1323"/>
      <c r="D6" s="1322" t="str">
        <f>IF(E121&gt;0,E121,"")</f>
        <v/>
      </c>
      <c r="E6" s="1323"/>
      <c r="F6" s="1323"/>
      <c r="G6" s="1324"/>
      <c r="H6" s="1324"/>
      <c r="I6" s="1325"/>
    </row>
    <row r="7" spans="2:12" ht="16.2" customHeight="1" thickBot="1" x14ac:dyDescent="0.35">
      <c r="B7" s="1326" t="s">
        <v>680</v>
      </c>
      <c r="C7" s="1327"/>
      <c r="D7" s="1322" t="str">
        <f>IF(E158&gt;0,E158,"")</f>
        <v/>
      </c>
      <c r="E7" s="1327"/>
      <c r="F7" s="1327"/>
      <c r="G7" s="1327"/>
      <c r="H7" s="1327"/>
      <c r="I7" s="1328"/>
    </row>
    <row r="8" spans="2:12" ht="16.2" thickBot="1" x14ac:dyDescent="0.35">
      <c r="B8" s="1309" t="s">
        <v>681</v>
      </c>
      <c r="C8" s="1310"/>
      <c r="D8" s="1310"/>
      <c r="E8" s="1310"/>
      <c r="F8" s="1310"/>
      <c r="G8" s="1310"/>
      <c r="H8" s="1310"/>
      <c r="I8" s="1313"/>
    </row>
    <row r="9" spans="2:12" x14ac:dyDescent="0.3">
      <c r="B9" s="959" t="s">
        <v>565</v>
      </c>
      <c r="C9" s="960"/>
      <c r="D9" s="965"/>
      <c r="E9" s="198" t="s">
        <v>572</v>
      </c>
      <c r="F9" s="991" t="s">
        <v>576</v>
      </c>
      <c r="G9" s="991"/>
      <c r="H9" s="991" t="s">
        <v>582</v>
      </c>
      <c r="I9" s="999"/>
    </row>
    <row r="10" spans="2:12" ht="15.6" x14ac:dyDescent="0.3">
      <c r="B10" s="961"/>
      <c r="C10" s="962"/>
      <c r="D10" s="963"/>
      <c r="E10" s="1329"/>
      <c r="F10" s="988"/>
      <c r="G10" s="963"/>
      <c r="H10" s="1330"/>
      <c r="I10" s="989"/>
    </row>
    <row r="11" spans="2:12" x14ac:dyDescent="0.3">
      <c r="B11" s="959" t="s">
        <v>584</v>
      </c>
      <c r="C11" s="965"/>
      <c r="D11" s="964" t="s">
        <v>586</v>
      </c>
      <c r="E11" s="965"/>
      <c r="F11" s="964" t="s">
        <v>591</v>
      </c>
      <c r="G11" s="965"/>
      <c r="H11" s="964" t="s">
        <v>600</v>
      </c>
      <c r="I11" s="987"/>
    </row>
    <row r="12" spans="2:12" x14ac:dyDescent="0.3">
      <c r="B12" s="1331"/>
      <c r="C12" s="1332"/>
      <c r="D12" s="1332"/>
      <c r="E12" s="1332"/>
      <c r="F12" s="1332"/>
      <c r="G12" s="1332"/>
      <c r="H12" s="1332"/>
      <c r="I12" s="1333"/>
    </row>
    <row r="13" spans="2:12" x14ac:dyDescent="0.3">
      <c r="B13" s="990" t="s">
        <v>602</v>
      </c>
      <c r="C13" s="991"/>
      <c r="D13" s="991"/>
      <c r="E13" s="991"/>
      <c r="F13" s="991" t="s">
        <v>682</v>
      </c>
      <c r="G13" s="991"/>
      <c r="H13" s="991"/>
      <c r="I13" s="999"/>
    </row>
    <row r="14" spans="2:12" ht="15.6" x14ac:dyDescent="0.3">
      <c r="B14" s="1331"/>
      <c r="C14" s="1334"/>
      <c r="D14" s="1335"/>
      <c r="E14" s="963"/>
      <c r="F14" s="1332"/>
      <c r="G14" s="1334"/>
      <c r="H14" s="1335"/>
      <c r="I14" s="989"/>
    </row>
    <row r="15" spans="2:12" ht="15.6" x14ac:dyDescent="0.3">
      <c r="B15" s="1336"/>
      <c r="C15" s="1337"/>
      <c r="D15" s="1338"/>
      <c r="E15" s="1339"/>
      <c r="F15" s="1340"/>
      <c r="G15" s="1337"/>
      <c r="H15" s="1338"/>
      <c r="I15" s="1341"/>
      <c r="L15" s="1342"/>
    </row>
    <row r="16" spans="2:12" ht="15.6" x14ac:dyDescent="0.3">
      <c r="B16" s="1336"/>
      <c r="C16" s="1337"/>
      <c r="D16" s="1338"/>
      <c r="E16" s="1339"/>
      <c r="F16" s="1340"/>
      <c r="G16" s="1337"/>
      <c r="H16" s="1338"/>
      <c r="I16" s="1341"/>
    </row>
    <row r="17" spans="2:13" ht="15.6" x14ac:dyDescent="0.3">
      <c r="B17" s="1336"/>
      <c r="C17" s="1337"/>
      <c r="D17" s="1338"/>
      <c r="E17" s="1339"/>
      <c r="F17" s="1340"/>
      <c r="G17" s="1337"/>
      <c r="H17" s="1338"/>
      <c r="I17" s="1341"/>
      <c r="L17" s="1343"/>
      <c r="M17" s="1343"/>
    </row>
    <row r="18" spans="2:13" ht="15.6" x14ac:dyDescent="0.3">
      <c r="B18" s="1336"/>
      <c r="C18" s="1337"/>
      <c r="D18" s="1338"/>
      <c r="E18" s="1339"/>
      <c r="F18" s="1340"/>
      <c r="G18" s="1337"/>
      <c r="H18" s="1338"/>
      <c r="I18" s="1341"/>
    </row>
    <row r="19" spans="2:13" ht="15.6" x14ac:dyDescent="0.3">
      <c r="B19" s="1336"/>
      <c r="C19" s="1337"/>
      <c r="D19" s="1338"/>
      <c r="E19" s="1339"/>
      <c r="F19" s="1340"/>
      <c r="G19" s="1337"/>
      <c r="H19" s="1338"/>
      <c r="I19" s="1341"/>
    </row>
    <row r="20" spans="2:13" ht="15.6" x14ac:dyDescent="0.3">
      <c r="B20" s="1336"/>
      <c r="C20" s="1337"/>
      <c r="D20" s="1338"/>
      <c r="E20" s="1339"/>
      <c r="F20" s="1344"/>
      <c r="G20" s="1345"/>
      <c r="H20" s="1345"/>
      <c r="I20" s="1346"/>
    </row>
    <row r="21" spans="2:13" ht="15.6" x14ac:dyDescent="0.3">
      <c r="B21" s="1336"/>
      <c r="C21" s="1337"/>
      <c r="D21" s="1338"/>
      <c r="E21" s="1339"/>
      <c r="F21" s="1347"/>
      <c r="G21" s="1348"/>
      <c r="H21" s="1348"/>
      <c r="I21" s="1349"/>
    </row>
    <row r="22" spans="2:13" ht="15.6" customHeight="1" x14ac:dyDescent="0.3">
      <c r="B22" s="1350" t="s">
        <v>683</v>
      </c>
      <c r="C22" s="1351"/>
      <c r="D22" s="1351"/>
      <c r="E22" s="1351"/>
      <c r="F22" s="1351"/>
      <c r="G22" s="1351"/>
      <c r="H22" s="1351"/>
      <c r="I22" s="1352"/>
    </row>
    <row r="23" spans="2:13" x14ac:dyDescent="0.3">
      <c r="B23" s="1353" t="s">
        <v>24</v>
      </c>
      <c r="C23" s="1354" t="s">
        <v>178</v>
      </c>
      <c r="D23" s="1355" t="s">
        <v>184</v>
      </c>
      <c r="E23" s="1355" t="s">
        <v>183</v>
      </c>
      <c r="F23" s="1354" t="s">
        <v>26</v>
      </c>
      <c r="G23" s="1354" t="s">
        <v>166</v>
      </c>
      <c r="H23" s="1354" t="s">
        <v>27</v>
      </c>
      <c r="I23" s="1356" t="s">
        <v>684</v>
      </c>
    </row>
    <row r="24" spans="2:13" x14ac:dyDescent="0.3">
      <c r="B24" s="1357" t="s">
        <v>167</v>
      </c>
      <c r="C24" s="1358"/>
      <c r="D24" s="1359"/>
      <c r="E24" s="1359"/>
      <c r="F24" s="1360"/>
      <c r="G24" s="1360"/>
      <c r="H24" s="1361">
        <f>F24*(1+(G24/100))</f>
        <v>0</v>
      </c>
      <c r="I24" s="1362"/>
    </row>
    <row r="25" spans="2:13" x14ac:dyDescent="0.3">
      <c r="B25" s="1357" t="s">
        <v>168</v>
      </c>
      <c r="C25" s="1358"/>
      <c r="D25" s="1359"/>
      <c r="E25" s="1359"/>
      <c r="F25" s="1360"/>
      <c r="G25" s="1360"/>
      <c r="H25" s="1361">
        <f t="shared" ref="H25:H28" si="0">F25*(1+(G25/100))</f>
        <v>0</v>
      </c>
      <c r="I25" s="1362"/>
    </row>
    <row r="26" spans="2:13" x14ac:dyDescent="0.3">
      <c r="B26" s="1357" t="s">
        <v>185</v>
      </c>
      <c r="C26" s="1358"/>
      <c r="D26" s="1359"/>
      <c r="E26" s="1359"/>
      <c r="F26" s="1360"/>
      <c r="G26" s="1360"/>
      <c r="H26" s="1361">
        <f t="shared" si="0"/>
        <v>0</v>
      </c>
      <c r="I26" s="1362"/>
    </row>
    <row r="27" spans="2:13" x14ac:dyDescent="0.3">
      <c r="B27" s="1357" t="s">
        <v>186</v>
      </c>
      <c r="C27" s="1358"/>
      <c r="D27" s="1359"/>
      <c r="E27" s="1359"/>
      <c r="F27" s="1360"/>
      <c r="G27" s="1360"/>
      <c r="H27" s="1361">
        <f t="shared" si="0"/>
        <v>0</v>
      </c>
      <c r="I27" s="1362"/>
    </row>
    <row r="28" spans="2:13" x14ac:dyDescent="0.3">
      <c r="B28" s="1357" t="s">
        <v>187</v>
      </c>
      <c r="C28" s="1363"/>
      <c r="D28" s="1364"/>
      <c r="E28" s="1364"/>
      <c r="F28" s="1365"/>
      <c r="G28" s="1365"/>
      <c r="H28" s="1361">
        <f t="shared" si="0"/>
        <v>0</v>
      </c>
      <c r="I28" s="1362"/>
    </row>
    <row r="29" spans="2:13" x14ac:dyDescent="0.3">
      <c r="B29" s="959" t="s">
        <v>685</v>
      </c>
      <c r="C29" s="960"/>
      <c r="D29" s="960"/>
      <c r="E29" s="960"/>
      <c r="F29" s="960"/>
      <c r="G29" s="960"/>
      <c r="H29" s="960"/>
      <c r="I29" s="987"/>
    </row>
    <row r="30" spans="2:13" ht="16.2" customHeight="1" x14ac:dyDescent="0.3">
      <c r="B30" s="1366"/>
      <c r="C30" s="1367"/>
      <c r="D30" s="1367"/>
      <c r="E30" s="1367"/>
      <c r="F30" s="1367"/>
      <c r="G30" s="1367"/>
      <c r="H30" s="1367"/>
      <c r="I30" s="1368"/>
    </row>
    <row r="31" spans="2:13" ht="14.4" customHeight="1" x14ac:dyDescent="0.3">
      <c r="B31" s="1366"/>
      <c r="C31" s="1367"/>
      <c r="D31" s="1367"/>
      <c r="E31" s="1367"/>
      <c r="F31" s="1367"/>
      <c r="G31" s="1367"/>
      <c r="H31" s="1367"/>
      <c r="I31" s="1368"/>
    </row>
    <row r="32" spans="2:13" ht="14.4" customHeight="1" x14ac:dyDescent="0.3">
      <c r="B32" s="1366"/>
      <c r="C32" s="1367"/>
      <c r="D32" s="1367"/>
      <c r="E32" s="1367"/>
      <c r="F32" s="1367"/>
      <c r="G32" s="1367"/>
      <c r="H32" s="1367"/>
      <c r="I32" s="1368"/>
    </row>
    <row r="33" spans="2:9" ht="14.4" customHeight="1" x14ac:dyDescent="0.3">
      <c r="B33" s="1366"/>
      <c r="C33" s="1367"/>
      <c r="D33" s="1367"/>
      <c r="E33" s="1367"/>
      <c r="F33" s="1367"/>
      <c r="G33" s="1367"/>
      <c r="H33" s="1367"/>
      <c r="I33" s="1368"/>
    </row>
    <row r="34" spans="2:9" ht="14.4" customHeight="1" x14ac:dyDescent="0.3">
      <c r="B34" s="1366"/>
      <c r="C34" s="1367"/>
      <c r="D34" s="1367"/>
      <c r="E34" s="1367"/>
      <c r="F34" s="1367"/>
      <c r="G34" s="1367"/>
      <c r="H34" s="1367"/>
      <c r="I34" s="1368"/>
    </row>
    <row r="35" spans="2:9" ht="14.4" customHeight="1" x14ac:dyDescent="0.3">
      <c r="B35" s="1369"/>
      <c r="C35" s="1370"/>
      <c r="D35" s="1370"/>
      <c r="E35" s="1370"/>
      <c r="F35" s="1370"/>
      <c r="G35" s="1370"/>
      <c r="H35" s="1370"/>
      <c r="I35" s="1371"/>
    </row>
    <row r="36" spans="2:9" x14ac:dyDescent="0.3">
      <c r="B36" s="959" t="s">
        <v>155</v>
      </c>
      <c r="C36" s="960"/>
      <c r="D36" s="965"/>
      <c r="E36" s="1372" t="s">
        <v>326</v>
      </c>
      <c r="F36" s="1373"/>
      <c r="G36" s="1374"/>
      <c r="H36" s="1375" t="s">
        <v>156</v>
      </c>
      <c r="I36" s="1376" t="s">
        <v>552</v>
      </c>
    </row>
    <row r="37" spans="2:9" ht="16.8" x14ac:dyDescent="0.4">
      <c r="B37" s="961"/>
      <c r="C37" s="962"/>
      <c r="D37" s="963"/>
      <c r="E37" s="1377"/>
      <c r="F37" s="1378"/>
      <c r="G37" s="1379"/>
      <c r="H37" s="705"/>
      <c r="I37" s="1380"/>
    </row>
    <row r="38" spans="2:9" x14ac:dyDescent="0.3">
      <c r="B38" s="959" t="s">
        <v>255</v>
      </c>
      <c r="C38" s="960"/>
      <c r="D38" s="965"/>
      <c r="E38" s="964" t="s">
        <v>326</v>
      </c>
      <c r="F38" s="960"/>
      <c r="G38" s="965"/>
      <c r="H38" s="1375" t="s">
        <v>156</v>
      </c>
      <c r="I38" s="1376" t="s">
        <v>552</v>
      </c>
    </row>
    <row r="39" spans="2:9" ht="16.8" x14ac:dyDescent="0.4">
      <c r="B39" s="961"/>
      <c r="C39" s="962"/>
      <c r="D39" s="963"/>
      <c r="E39" s="1377"/>
      <c r="F39" s="1378"/>
      <c r="G39" s="1379"/>
      <c r="H39" s="705"/>
      <c r="I39" s="1380"/>
    </row>
    <row r="40" spans="2:9" x14ac:dyDescent="0.3">
      <c r="B40" s="959" t="s">
        <v>686</v>
      </c>
      <c r="C40" s="960"/>
      <c r="D40" s="960"/>
      <c r="E40" s="960"/>
      <c r="F40" s="960"/>
      <c r="G40" s="960"/>
      <c r="H40" s="960"/>
      <c r="I40" s="987"/>
    </row>
    <row r="41" spans="2:9" ht="15.6" customHeight="1" x14ac:dyDescent="0.3">
      <c r="B41" s="1012"/>
      <c r="C41" s="1013"/>
      <c r="D41" s="1013"/>
      <c r="E41" s="1013"/>
      <c r="F41" s="1013"/>
      <c r="G41" s="1013"/>
      <c r="H41" s="1013"/>
      <c r="I41" s="1381"/>
    </row>
    <row r="42" spans="2:9" ht="15.6" customHeight="1" x14ac:dyDescent="0.3">
      <c r="B42" s="961"/>
      <c r="C42" s="962"/>
      <c r="D42" s="962"/>
      <c r="E42" s="962"/>
      <c r="F42" s="962"/>
      <c r="G42" s="962"/>
      <c r="H42" s="962"/>
      <c r="I42" s="989"/>
    </row>
    <row r="43" spans="2:9" x14ac:dyDescent="0.3">
      <c r="B43" s="1382" t="s">
        <v>687</v>
      </c>
      <c r="C43" s="1004"/>
      <c r="D43" s="1005"/>
      <c r="E43" s="1383" t="s">
        <v>326</v>
      </c>
      <c r="F43" s="1384"/>
      <c r="G43" s="1385"/>
      <c r="H43" s="1386" t="s">
        <v>552</v>
      </c>
      <c r="I43" s="1387"/>
    </row>
    <row r="44" spans="2:9" ht="17.399999999999999" thickBot="1" x14ac:dyDescent="0.45">
      <c r="B44" s="1029"/>
      <c r="C44" s="1028"/>
      <c r="D44" s="969"/>
      <c r="E44" s="1388"/>
      <c r="F44" s="1389"/>
      <c r="G44" s="1390"/>
      <c r="H44" s="968"/>
      <c r="I44" s="1391"/>
    </row>
    <row r="45" spans="2:9" ht="16.2" thickBot="1" x14ac:dyDescent="0.35">
      <c r="B45" s="1309" t="s">
        <v>688</v>
      </c>
      <c r="C45" s="1310"/>
      <c r="D45" s="1310"/>
      <c r="E45" s="1310"/>
      <c r="F45" s="1310"/>
      <c r="G45" s="1310"/>
      <c r="H45" s="1310"/>
      <c r="I45" s="1313"/>
    </row>
    <row r="46" spans="2:9" x14ac:dyDescent="0.3">
      <c r="B46" s="959" t="s">
        <v>565</v>
      </c>
      <c r="C46" s="960"/>
      <c r="D46" s="965"/>
      <c r="E46" s="198" t="s">
        <v>572</v>
      </c>
      <c r="F46" s="991" t="s">
        <v>576</v>
      </c>
      <c r="G46" s="991"/>
      <c r="H46" s="991" t="s">
        <v>582</v>
      </c>
      <c r="I46" s="999"/>
    </row>
    <row r="47" spans="2:9" ht="15.6" x14ac:dyDescent="0.3">
      <c r="B47" s="961"/>
      <c r="C47" s="962"/>
      <c r="D47" s="963"/>
      <c r="E47" s="1329"/>
      <c r="F47" s="988"/>
      <c r="G47" s="963"/>
      <c r="H47" s="1330"/>
      <c r="I47" s="989"/>
    </row>
    <row r="48" spans="2:9" x14ac:dyDescent="0.3">
      <c r="B48" s="959" t="s">
        <v>584</v>
      </c>
      <c r="C48" s="965"/>
      <c r="D48" s="964" t="s">
        <v>586</v>
      </c>
      <c r="E48" s="965"/>
      <c r="F48" s="964" t="s">
        <v>591</v>
      </c>
      <c r="G48" s="965"/>
      <c r="H48" s="964" t="s">
        <v>600</v>
      </c>
      <c r="I48" s="987"/>
    </row>
    <row r="49" spans="2:13" x14ac:dyDescent="0.3">
      <c r="B49" s="1331"/>
      <c r="C49" s="1332"/>
      <c r="D49" s="1332"/>
      <c r="E49" s="1332"/>
      <c r="F49" s="1332"/>
      <c r="G49" s="1332"/>
      <c r="H49" s="1332"/>
      <c r="I49" s="1333"/>
    </row>
    <row r="50" spans="2:13" x14ac:dyDescent="0.3">
      <c r="B50" s="990" t="s">
        <v>602</v>
      </c>
      <c r="C50" s="991"/>
      <c r="D50" s="991"/>
      <c r="E50" s="991"/>
      <c r="F50" s="991" t="s">
        <v>682</v>
      </c>
      <c r="G50" s="991"/>
      <c r="H50" s="991"/>
      <c r="I50" s="999"/>
    </row>
    <row r="51" spans="2:13" ht="15.6" x14ac:dyDescent="0.3">
      <c r="B51" s="1331"/>
      <c r="C51" s="1334"/>
      <c r="D51" s="1335"/>
      <c r="E51" s="963"/>
      <c r="F51" s="1332"/>
      <c r="G51" s="1334"/>
      <c r="H51" s="1335"/>
      <c r="I51" s="989"/>
    </row>
    <row r="52" spans="2:13" ht="15.6" x14ac:dyDescent="0.3">
      <c r="B52" s="1336"/>
      <c r="C52" s="1337"/>
      <c r="D52" s="1338"/>
      <c r="E52" s="1339"/>
      <c r="F52" s="1340"/>
      <c r="G52" s="1337"/>
      <c r="H52" s="1338"/>
      <c r="I52" s="1341"/>
    </row>
    <row r="53" spans="2:13" ht="15.6" x14ac:dyDescent="0.3">
      <c r="B53" s="1336"/>
      <c r="C53" s="1337"/>
      <c r="D53" s="1338"/>
      <c r="E53" s="1339"/>
      <c r="F53" s="1340"/>
      <c r="G53" s="1337"/>
      <c r="H53" s="1338"/>
      <c r="I53" s="1341"/>
    </row>
    <row r="54" spans="2:13" ht="15.6" x14ac:dyDescent="0.3">
      <c r="B54" s="1336"/>
      <c r="C54" s="1337"/>
      <c r="D54" s="1338"/>
      <c r="E54" s="1339"/>
      <c r="F54" s="1340"/>
      <c r="G54" s="1337"/>
      <c r="H54" s="1338"/>
      <c r="I54" s="1341"/>
      <c r="L54" s="1343"/>
      <c r="M54" s="1343"/>
    </row>
    <row r="55" spans="2:13" ht="15.6" x14ac:dyDescent="0.3">
      <c r="B55" s="1336"/>
      <c r="C55" s="1337"/>
      <c r="D55" s="1338"/>
      <c r="E55" s="1339"/>
      <c r="F55" s="1340"/>
      <c r="G55" s="1337"/>
      <c r="H55" s="1338"/>
      <c r="I55" s="1341"/>
    </row>
    <row r="56" spans="2:13" ht="15.6" x14ac:dyDescent="0.3">
      <c r="B56" s="1336"/>
      <c r="C56" s="1337"/>
      <c r="D56" s="1338"/>
      <c r="E56" s="1339"/>
      <c r="F56" s="1340"/>
      <c r="G56" s="1337"/>
      <c r="H56" s="1338"/>
      <c r="I56" s="1341"/>
    </row>
    <row r="57" spans="2:13" ht="15.6" x14ac:dyDescent="0.3">
      <c r="B57" s="1336"/>
      <c r="C57" s="1337"/>
      <c r="D57" s="1338"/>
      <c r="E57" s="1339"/>
      <c r="F57" s="1344"/>
      <c r="G57" s="1345"/>
      <c r="H57" s="1345"/>
      <c r="I57" s="1346"/>
    </row>
    <row r="58" spans="2:13" ht="15.6" x14ac:dyDescent="0.3">
      <c r="B58" s="1336"/>
      <c r="C58" s="1337"/>
      <c r="D58" s="1338"/>
      <c r="E58" s="1339"/>
      <c r="F58" s="1347"/>
      <c r="G58" s="1348"/>
      <c r="H58" s="1348"/>
      <c r="I58" s="1349"/>
    </row>
    <row r="59" spans="2:13" ht="15.6" customHeight="1" x14ac:dyDescent="0.3">
      <c r="B59" s="1350" t="s">
        <v>683</v>
      </c>
      <c r="C59" s="1351"/>
      <c r="D59" s="1351"/>
      <c r="E59" s="1351"/>
      <c r="F59" s="1351"/>
      <c r="G59" s="1351"/>
      <c r="H59" s="1351"/>
      <c r="I59" s="1352"/>
    </row>
    <row r="60" spans="2:13" x14ac:dyDescent="0.3">
      <c r="B60" s="1353" t="s">
        <v>24</v>
      </c>
      <c r="C60" s="1354" t="s">
        <v>178</v>
      </c>
      <c r="D60" s="1355" t="s">
        <v>184</v>
      </c>
      <c r="E60" s="1355" t="s">
        <v>183</v>
      </c>
      <c r="F60" s="1354" t="s">
        <v>26</v>
      </c>
      <c r="G60" s="1354" t="s">
        <v>166</v>
      </c>
      <c r="H60" s="1354" t="s">
        <v>27</v>
      </c>
      <c r="I60" s="1356" t="s">
        <v>684</v>
      </c>
    </row>
    <row r="61" spans="2:13" x14ac:dyDescent="0.3">
      <c r="B61" s="1357" t="s">
        <v>167</v>
      </c>
      <c r="C61" s="1358"/>
      <c r="D61" s="1359"/>
      <c r="E61" s="1359"/>
      <c r="F61" s="1360"/>
      <c r="G61" s="1360"/>
      <c r="H61" s="1361">
        <f>F61*(1+(G61/100))</f>
        <v>0</v>
      </c>
      <c r="I61" s="1362"/>
    </row>
    <row r="62" spans="2:13" x14ac:dyDescent="0.3">
      <c r="B62" s="1357" t="s">
        <v>168</v>
      </c>
      <c r="C62" s="1358"/>
      <c r="D62" s="1359"/>
      <c r="E62" s="1359"/>
      <c r="F62" s="1360"/>
      <c r="G62" s="1360"/>
      <c r="H62" s="1361">
        <f t="shared" ref="H62:H65" si="1">F62*(1+(G62/100))</f>
        <v>0</v>
      </c>
      <c r="I62" s="1362"/>
    </row>
    <row r="63" spans="2:13" x14ac:dyDescent="0.3">
      <c r="B63" s="1357" t="s">
        <v>185</v>
      </c>
      <c r="C63" s="1358"/>
      <c r="D63" s="1359"/>
      <c r="E63" s="1359"/>
      <c r="F63" s="1360"/>
      <c r="G63" s="1360"/>
      <c r="H63" s="1361">
        <f t="shared" si="1"/>
        <v>0</v>
      </c>
      <c r="I63" s="1362"/>
    </row>
    <row r="64" spans="2:13" x14ac:dyDescent="0.3">
      <c r="B64" s="1357" t="s">
        <v>186</v>
      </c>
      <c r="C64" s="1358"/>
      <c r="D64" s="1359"/>
      <c r="E64" s="1359"/>
      <c r="F64" s="1360"/>
      <c r="G64" s="1360"/>
      <c r="H64" s="1361">
        <f t="shared" si="1"/>
        <v>0</v>
      </c>
      <c r="I64" s="1362"/>
    </row>
    <row r="65" spans="2:9" x14ac:dyDescent="0.3">
      <c r="B65" s="1357" t="s">
        <v>187</v>
      </c>
      <c r="C65" s="1363"/>
      <c r="D65" s="1364"/>
      <c r="E65" s="1364"/>
      <c r="F65" s="1365"/>
      <c r="G65" s="1365"/>
      <c r="H65" s="1361">
        <f t="shared" si="1"/>
        <v>0</v>
      </c>
      <c r="I65" s="1362"/>
    </row>
    <row r="66" spans="2:9" x14ac:dyDescent="0.3">
      <c r="B66" s="959" t="s">
        <v>685</v>
      </c>
      <c r="C66" s="960"/>
      <c r="D66" s="960"/>
      <c r="E66" s="960"/>
      <c r="F66" s="960"/>
      <c r="G66" s="960"/>
      <c r="H66" s="960"/>
      <c r="I66" s="987"/>
    </row>
    <row r="67" spans="2:9" ht="16.2" customHeight="1" x14ac:dyDescent="0.3">
      <c r="B67" s="1366"/>
      <c r="C67" s="1367"/>
      <c r="D67" s="1367"/>
      <c r="E67" s="1367"/>
      <c r="F67" s="1367"/>
      <c r="G67" s="1367"/>
      <c r="H67" s="1367"/>
      <c r="I67" s="1368"/>
    </row>
    <row r="68" spans="2:9" ht="14.4" customHeight="1" x14ac:dyDescent="0.3">
      <c r="B68" s="1366"/>
      <c r="C68" s="1367"/>
      <c r="D68" s="1367"/>
      <c r="E68" s="1367"/>
      <c r="F68" s="1367"/>
      <c r="G68" s="1367"/>
      <c r="H68" s="1367"/>
      <c r="I68" s="1368"/>
    </row>
    <row r="69" spans="2:9" ht="14.4" customHeight="1" x14ac:dyDescent="0.3">
      <c r="B69" s="1366"/>
      <c r="C69" s="1367"/>
      <c r="D69" s="1367"/>
      <c r="E69" s="1367"/>
      <c r="F69" s="1367"/>
      <c r="G69" s="1367"/>
      <c r="H69" s="1367"/>
      <c r="I69" s="1368"/>
    </row>
    <row r="70" spans="2:9" ht="14.4" customHeight="1" x14ac:dyDescent="0.3">
      <c r="B70" s="1366"/>
      <c r="C70" s="1367"/>
      <c r="D70" s="1367"/>
      <c r="E70" s="1367"/>
      <c r="F70" s="1367"/>
      <c r="G70" s="1367"/>
      <c r="H70" s="1367"/>
      <c r="I70" s="1368"/>
    </row>
    <row r="71" spans="2:9" ht="14.4" customHeight="1" x14ac:dyDescent="0.3">
      <c r="B71" s="1366"/>
      <c r="C71" s="1367"/>
      <c r="D71" s="1367"/>
      <c r="E71" s="1367"/>
      <c r="F71" s="1367"/>
      <c r="G71" s="1367"/>
      <c r="H71" s="1367"/>
      <c r="I71" s="1368"/>
    </row>
    <row r="72" spans="2:9" ht="14.4" customHeight="1" x14ac:dyDescent="0.3">
      <c r="B72" s="1369"/>
      <c r="C72" s="1370"/>
      <c r="D72" s="1370"/>
      <c r="E72" s="1370"/>
      <c r="F72" s="1370"/>
      <c r="G72" s="1370"/>
      <c r="H72" s="1370"/>
      <c r="I72" s="1371"/>
    </row>
    <row r="73" spans="2:9" x14ac:dyDescent="0.3">
      <c r="B73" s="959" t="s">
        <v>155</v>
      </c>
      <c r="C73" s="960"/>
      <c r="D73" s="965"/>
      <c r="E73" s="1372" t="s">
        <v>326</v>
      </c>
      <c r="F73" s="1373"/>
      <c r="G73" s="1374"/>
      <c r="H73" s="1375" t="s">
        <v>156</v>
      </c>
      <c r="I73" s="1376" t="s">
        <v>552</v>
      </c>
    </row>
    <row r="74" spans="2:9" ht="16.8" x14ac:dyDescent="0.4">
      <c r="B74" s="961"/>
      <c r="C74" s="962"/>
      <c r="D74" s="963"/>
      <c r="E74" s="1377"/>
      <c r="F74" s="1378"/>
      <c r="G74" s="1379"/>
      <c r="H74" s="705"/>
      <c r="I74" s="1380"/>
    </row>
    <row r="75" spans="2:9" x14ac:dyDescent="0.3">
      <c r="B75" s="959" t="s">
        <v>255</v>
      </c>
      <c r="C75" s="960"/>
      <c r="D75" s="965"/>
      <c r="E75" s="1372" t="s">
        <v>326</v>
      </c>
      <c r="F75" s="1373"/>
      <c r="G75" s="1374"/>
      <c r="H75" s="1375" t="s">
        <v>156</v>
      </c>
      <c r="I75" s="1376" t="s">
        <v>552</v>
      </c>
    </row>
    <row r="76" spans="2:9" ht="16.8" x14ac:dyDescent="0.4">
      <c r="B76" s="961"/>
      <c r="C76" s="962"/>
      <c r="D76" s="963"/>
      <c r="E76" s="1377"/>
      <c r="F76" s="1378"/>
      <c r="G76" s="1379"/>
      <c r="H76" s="705"/>
      <c r="I76" s="1380"/>
    </row>
    <row r="77" spans="2:9" x14ac:dyDescent="0.3">
      <c r="B77" s="959" t="s">
        <v>686</v>
      </c>
      <c r="C77" s="960"/>
      <c r="D77" s="960"/>
      <c r="E77" s="960"/>
      <c r="F77" s="960"/>
      <c r="G77" s="960"/>
      <c r="H77" s="960"/>
      <c r="I77" s="987"/>
    </row>
    <row r="78" spans="2:9" ht="15.6" customHeight="1" x14ac:dyDescent="0.3">
      <c r="B78" s="1012"/>
      <c r="C78" s="1013"/>
      <c r="D78" s="1013"/>
      <c r="E78" s="1013"/>
      <c r="F78" s="1013"/>
      <c r="G78" s="1013"/>
      <c r="H78" s="1013"/>
      <c r="I78" s="1381"/>
    </row>
    <row r="79" spans="2:9" ht="15.6" customHeight="1" x14ac:dyDescent="0.3">
      <c r="B79" s="961"/>
      <c r="C79" s="962"/>
      <c r="D79" s="962"/>
      <c r="E79" s="962"/>
      <c r="F79" s="962"/>
      <c r="G79" s="962"/>
      <c r="H79" s="962"/>
      <c r="I79" s="989"/>
    </row>
    <row r="80" spans="2:9" x14ac:dyDescent="0.3">
      <c r="B80" s="1382" t="s">
        <v>687</v>
      </c>
      <c r="C80" s="1004"/>
      <c r="D80" s="1005"/>
      <c r="E80" s="1383" t="s">
        <v>326</v>
      </c>
      <c r="F80" s="1384"/>
      <c r="G80" s="1385"/>
      <c r="H80" s="1386" t="s">
        <v>552</v>
      </c>
      <c r="I80" s="1387"/>
    </row>
    <row r="81" spans="2:13" ht="17.399999999999999" thickBot="1" x14ac:dyDescent="0.45">
      <c r="B81" s="1029"/>
      <c r="C81" s="1028"/>
      <c r="D81" s="969"/>
      <c r="E81" s="1388"/>
      <c r="F81" s="1389"/>
      <c r="G81" s="1390"/>
      <c r="H81" s="968"/>
      <c r="I81" s="1391"/>
    </row>
    <row r="82" spans="2:13" ht="16.2" thickBot="1" x14ac:dyDescent="0.35">
      <c r="B82" s="1309" t="s">
        <v>689</v>
      </c>
      <c r="C82" s="1310"/>
      <c r="D82" s="1310"/>
      <c r="E82" s="1310"/>
      <c r="F82" s="1310"/>
      <c r="G82" s="1310"/>
      <c r="H82" s="1310"/>
      <c r="I82" s="1313"/>
    </row>
    <row r="83" spans="2:13" x14ac:dyDescent="0.3">
      <c r="B83" s="959" t="s">
        <v>565</v>
      </c>
      <c r="C83" s="960"/>
      <c r="D83" s="965"/>
      <c r="E83" s="198" t="s">
        <v>572</v>
      </c>
      <c r="F83" s="991" t="s">
        <v>576</v>
      </c>
      <c r="G83" s="991"/>
      <c r="H83" s="991" t="s">
        <v>582</v>
      </c>
      <c r="I83" s="999"/>
    </row>
    <row r="84" spans="2:13" ht="15.6" x14ac:dyDescent="0.3">
      <c r="B84" s="961"/>
      <c r="C84" s="962"/>
      <c r="D84" s="963"/>
      <c r="E84" s="1329"/>
      <c r="F84" s="988"/>
      <c r="G84" s="963"/>
      <c r="H84" s="1330"/>
      <c r="I84" s="989"/>
    </row>
    <row r="85" spans="2:13" x14ac:dyDescent="0.3">
      <c r="B85" s="959" t="s">
        <v>584</v>
      </c>
      <c r="C85" s="965"/>
      <c r="D85" s="964" t="s">
        <v>586</v>
      </c>
      <c r="E85" s="965"/>
      <c r="F85" s="964" t="s">
        <v>591</v>
      </c>
      <c r="G85" s="965"/>
      <c r="H85" s="964" t="s">
        <v>600</v>
      </c>
      <c r="I85" s="987"/>
    </row>
    <row r="86" spans="2:13" x14ac:dyDescent="0.3">
      <c r="B86" s="1331"/>
      <c r="C86" s="1332"/>
      <c r="D86" s="1332"/>
      <c r="E86" s="1332"/>
      <c r="F86" s="1332"/>
      <c r="G86" s="1332"/>
      <c r="H86" s="1332"/>
      <c r="I86" s="1333"/>
    </row>
    <row r="87" spans="2:13" x14ac:dyDescent="0.3">
      <c r="B87" s="990" t="s">
        <v>602</v>
      </c>
      <c r="C87" s="991"/>
      <c r="D87" s="991"/>
      <c r="E87" s="991"/>
      <c r="F87" s="991" t="s">
        <v>682</v>
      </c>
      <c r="G87" s="991"/>
      <c r="H87" s="991"/>
      <c r="I87" s="999"/>
    </row>
    <row r="88" spans="2:13" ht="15.6" x14ac:dyDescent="0.3">
      <c r="B88" s="1331"/>
      <c r="C88" s="1334"/>
      <c r="D88" s="1335"/>
      <c r="E88" s="963"/>
      <c r="F88" s="1332"/>
      <c r="G88" s="1334"/>
      <c r="H88" s="1335"/>
      <c r="I88" s="989"/>
    </row>
    <row r="89" spans="2:13" ht="15.6" x14ac:dyDescent="0.3">
      <c r="B89" s="1336"/>
      <c r="C89" s="1337"/>
      <c r="D89" s="1338"/>
      <c r="E89" s="1339"/>
      <c r="F89" s="1340"/>
      <c r="G89" s="1337"/>
      <c r="H89" s="1338"/>
      <c r="I89" s="1341"/>
    </row>
    <row r="90" spans="2:13" ht="15.6" x14ac:dyDescent="0.3">
      <c r="B90" s="1336"/>
      <c r="C90" s="1337"/>
      <c r="D90" s="1338"/>
      <c r="E90" s="1339"/>
      <c r="F90" s="1340"/>
      <c r="G90" s="1337"/>
      <c r="H90" s="1338"/>
      <c r="I90" s="1341"/>
    </row>
    <row r="91" spans="2:13" ht="15.6" x14ac:dyDescent="0.3">
      <c r="B91" s="1336"/>
      <c r="C91" s="1337"/>
      <c r="D91" s="1338"/>
      <c r="E91" s="1339"/>
      <c r="F91" s="1340"/>
      <c r="G91" s="1337"/>
      <c r="H91" s="1338"/>
      <c r="I91" s="1341"/>
      <c r="L91" s="1343"/>
      <c r="M91" s="1343"/>
    </row>
    <row r="92" spans="2:13" ht="15.6" x14ac:dyDescent="0.3">
      <c r="B92" s="1336"/>
      <c r="C92" s="1337"/>
      <c r="D92" s="1338"/>
      <c r="E92" s="1339"/>
      <c r="F92" s="1340"/>
      <c r="G92" s="1337"/>
      <c r="H92" s="1338"/>
      <c r="I92" s="1341"/>
    </row>
    <row r="93" spans="2:13" ht="15.6" x14ac:dyDescent="0.3">
      <c r="B93" s="1336"/>
      <c r="C93" s="1337"/>
      <c r="D93" s="1338"/>
      <c r="E93" s="1339"/>
      <c r="F93" s="1340"/>
      <c r="G93" s="1337"/>
      <c r="H93" s="1338"/>
      <c r="I93" s="1341"/>
    </row>
    <row r="94" spans="2:13" ht="15.6" x14ac:dyDescent="0.3">
      <c r="B94" s="1336"/>
      <c r="C94" s="1337"/>
      <c r="D94" s="1338"/>
      <c r="E94" s="1339"/>
      <c r="F94" s="1344"/>
      <c r="G94" s="1345"/>
      <c r="H94" s="1345"/>
      <c r="I94" s="1346"/>
    </row>
    <row r="95" spans="2:13" ht="15.6" x14ac:dyDescent="0.3">
      <c r="B95" s="1336"/>
      <c r="C95" s="1337"/>
      <c r="D95" s="1338"/>
      <c r="E95" s="1339"/>
      <c r="F95" s="1347"/>
      <c r="G95" s="1348"/>
      <c r="H95" s="1348"/>
      <c r="I95" s="1349"/>
    </row>
    <row r="96" spans="2:13" ht="15.6" customHeight="1" x14ac:dyDescent="0.3">
      <c r="B96" s="1350" t="s">
        <v>683</v>
      </c>
      <c r="C96" s="1351"/>
      <c r="D96" s="1351"/>
      <c r="E96" s="1351"/>
      <c r="F96" s="1351"/>
      <c r="G96" s="1351"/>
      <c r="H96" s="1351"/>
      <c r="I96" s="1352"/>
    </row>
    <row r="97" spans="2:9" x14ac:dyDescent="0.3">
      <c r="B97" s="1353" t="s">
        <v>24</v>
      </c>
      <c r="C97" s="1354" t="s">
        <v>178</v>
      </c>
      <c r="D97" s="1355" t="s">
        <v>184</v>
      </c>
      <c r="E97" s="1355" t="s">
        <v>183</v>
      </c>
      <c r="F97" s="1354" t="s">
        <v>26</v>
      </c>
      <c r="G97" s="1354" t="s">
        <v>166</v>
      </c>
      <c r="H97" s="1354" t="s">
        <v>27</v>
      </c>
      <c r="I97" s="1356" t="s">
        <v>684</v>
      </c>
    </row>
    <row r="98" spans="2:9" x14ac:dyDescent="0.3">
      <c r="B98" s="1357" t="s">
        <v>167</v>
      </c>
      <c r="C98" s="1358"/>
      <c r="D98" s="1359"/>
      <c r="E98" s="1359"/>
      <c r="F98" s="1360"/>
      <c r="G98" s="1360"/>
      <c r="H98" s="1361">
        <f>F98*(1+(G98/100))</f>
        <v>0</v>
      </c>
      <c r="I98" s="1362"/>
    </row>
    <row r="99" spans="2:9" x14ac:dyDescent="0.3">
      <c r="B99" s="1357" t="s">
        <v>168</v>
      </c>
      <c r="C99" s="1358"/>
      <c r="D99" s="1359"/>
      <c r="E99" s="1359"/>
      <c r="F99" s="1360"/>
      <c r="G99" s="1360"/>
      <c r="H99" s="1361">
        <f t="shared" ref="H99:H102" si="2">F99*(1+(G99/100))</f>
        <v>0</v>
      </c>
      <c r="I99" s="1362"/>
    </row>
    <row r="100" spans="2:9" x14ac:dyDescent="0.3">
      <c r="B100" s="1357" t="s">
        <v>185</v>
      </c>
      <c r="C100" s="1358"/>
      <c r="D100" s="1359"/>
      <c r="E100" s="1359"/>
      <c r="F100" s="1360"/>
      <c r="G100" s="1360"/>
      <c r="H100" s="1361">
        <f t="shared" si="2"/>
        <v>0</v>
      </c>
      <c r="I100" s="1362"/>
    </row>
    <row r="101" spans="2:9" x14ac:dyDescent="0.3">
      <c r="B101" s="1357" t="s">
        <v>186</v>
      </c>
      <c r="C101" s="1358"/>
      <c r="D101" s="1359"/>
      <c r="E101" s="1359"/>
      <c r="F101" s="1360"/>
      <c r="G101" s="1360"/>
      <c r="H101" s="1361">
        <f t="shared" si="2"/>
        <v>0</v>
      </c>
      <c r="I101" s="1362"/>
    </row>
    <row r="102" spans="2:9" x14ac:dyDescent="0.3">
      <c r="B102" s="1357" t="s">
        <v>187</v>
      </c>
      <c r="C102" s="1363"/>
      <c r="D102" s="1364"/>
      <c r="E102" s="1364"/>
      <c r="F102" s="1365"/>
      <c r="G102" s="1365"/>
      <c r="H102" s="1361">
        <f t="shared" si="2"/>
        <v>0</v>
      </c>
      <c r="I102" s="1362"/>
    </row>
    <row r="103" spans="2:9" x14ac:dyDescent="0.3">
      <c r="B103" s="959" t="s">
        <v>685</v>
      </c>
      <c r="C103" s="960"/>
      <c r="D103" s="960"/>
      <c r="E103" s="960"/>
      <c r="F103" s="960"/>
      <c r="G103" s="960"/>
      <c r="H103" s="960"/>
      <c r="I103" s="987"/>
    </row>
    <row r="104" spans="2:9" ht="16.2" customHeight="1" x14ac:dyDescent="0.3">
      <c r="B104" s="1366"/>
      <c r="C104" s="1367"/>
      <c r="D104" s="1367"/>
      <c r="E104" s="1367"/>
      <c r="F104" s="1367"/>
      <c r="G104" s="1367"/>
      <c r="H104" s="1367"/>
      <c r="I104" s="1368"/>
    </row>
    <row r="105" spans="2:9" ht="14.4" customHeight="1" x14ac:dyDescent="0.3">
      <c r="B105" s="1366"/>
      <c r="C105" s="1367"/>
      <c r="D105" s="1367"/>
      <c r="E105" s="1367"/>
      <c r="F105" s="1367"/>
      <c r="G105" s="1367"/>
      <c r="H105" s="1367"/>
      <c r="I105" s="1368"/>
    </row>
    <row r="106" spans="2:9" ht="14.4" customHeight="1" x14ac:dyDescent="0.3">
      <c r="B106" s="1366"/>
      <c r="C106" s="1367"/>
      <c r="D106" s="1367"/>
      <c r="E106" s="1367"/>
      <c r="F106" s="1367"/>
      <c r="G106" s="1367"/>
      <c r="H106" s="1367"/>
      <c r="I106" s="1368"/>
    </row>
    <row r="107" spans="2:9" ht="14.4" customHeight="1" x14ac:dyDescent="0.3">
      <c r="B107" s="1366"/>
      <c r="C107" s="1367"/>
      <c r="D107" s="1367"/>
      <c r="E107" s="1367"/>
      <c r="F107" s="1367"/>
      <c r="G107" s="1367"/>
      <c r="H107" s="1367"/>
      <c r="I107" s="1368"/>
    </row>
    <row r="108" spans="2:9" ht="14.4" customHeight="1" x14ac:dyDescent="0.3">
      <c r="B108" s="1366"/>
      <c r="C108" s="1367"/>
      <c r="D108" s="1367"/>
      <c r="E108" s="1367"/>
      <c r="F108" s="1367"/>
      <c r="G108" s="1367"/>
      <c r="H108" s="1367"/>
      <c r="I108" s="1368"/>
    </row>
    <row r="109" spans="2:9" ht="14.4" customHeight="1" x14ac:dyDescent="0.3">
      <c r="B109" s="1369"/>
      <c r="C109" s="1370"/>
      <c r="D109" s="1370"/>
      <c r="E109" s="1370"/>
      <c r="F109" s="1370"/>
      <c r="G109" s="1370"/>
      <c r="H109" s="1370"/>
      <c r="I109" s="1371"/>
    </row>
    <row r="110" spans="2:9" x14ac:dyDescent="0.3">
      <c r="B110" s="959" t="s">
        <v>155</v>
      </c>
      <c r="C110" s="960"/>
      <c r="D110" s="965"/>
      <c r="E110" s="1372" t="s">
        <v>326</v>
      </c>
      <c r="F110" s="1373"/>
      <c r="G110" s="1374"/>
      <c r="H110" s="1375" t="s">
        <v>156</v>
      </c>
      <c r="I110" s="1376" t="s">
        <v>552</v>
      </c>
    </row>
    <row r="111" spans="2:9" ht="16.8" x14ac:dyDescent="0.4">
      <c r="B111" s="961"/>
      <c r="C111" s="962"/>
      <c r="D111" s="963"/>
      <c r="E111" s="1377"/>
      <c r="F111" s="1378"/>
      <c r="G111" s="1379"/>
      <c r="H111" s="705"/>
      <c r="I111" s="1380"/>
    </row>
    <row r="112" spans="2:9" x14ac:dyDescent="0.3">
      <c r="B112" s="959" t="s">
        <v>255</v>
      </c>
      <c r="C112" s="960"/>
      <c r="D112" s="965"/>
      <c r="E112" s="1372" t="s">
        <v>326</v>
      </c>
      <c r="F112" s="1373"/>
      <c r="G112" s="1374"/>
      <c r="H112" s="1375" t="s">
        <v>156</v>
      </c>
      <c r="I112" s="1376" t="s">
        <v>552</v>
      </c>
    </row>
    <row r="113" spans="2:13" ht="16.8" x14ac:dyDescent="0.4">
      <c r="B113" s="961"/>
      <c r="C113" s="962"/>
      <c r="D113" s="963"/>
      <c r="E113" s="1377"/>
      <c r="F113" s="1378"/>
      <c r="G113" s="1379"/>
      <c r="H113" s="705"/>
      <c r="I113" s="1380"/>
    </row>
    <row r="114" spans="2:13" x14ac:dyDescent="0.3">
      <c r="B114" s="959" t="s">
        <v>686</v>
      </c>
      <c r="C114" s="960"/>
      <c r="D114" s="960"/>
      <c r="E114" s="960"/>
      <c r="F114" s="960"/>
      <c r="G114" s="960"/>
      <c r="H114" s="960"/>
      <c r="I114" s="987"/>
    </row>
    <row r="115" spans="2:13" ht="15.6" customHeight="1" x14ac:dyDescent="0.3">
      <c r="B115" s="1012"/>
      <c r="C115" s="1013"/>
      <c r="D115" s="1013"/>
      <c r="E115" s="1013"/>
      <c r="F115" s="1013"/>
      <c r="G115" s="1013"/>
      <c r="H115" s="1013"/>
      <c r="I115" s="1381"/>
    </row>
    <row r="116" spans="2:13" ht="15.6" customHeight="1" x14ac:dyDescent="0.3">
      <c r="B116" s="961"/>
      <c r="C116" s="962"/>
      <c r="D116" s="962"/>
      <c r="E116" s="962"/>
      <c r="F116" s="962"/>
      <c r="G116" s="962"/>
      <c r="H116" s="962"/>
      <c r="I116" s="989"/>
    </row>
    <row r="117" spans="2:13" x14ac:dyDescent="0.3">
      <c r="B117" s="1382" t="s">
        <v>687</v>
      </c>
      <c r="C117" s="1004"/>
      <c r="D117" s="1005"/>
      <c r="E117" s="1383" t="s">
        <v>326</v>
      </c>
      <c r="F117" s="1384"/>
      <c r="G117" s="1385"/>
      <c r="H117" s="1386" t="s">
        <v>552</v>
      </c>
      <c r="I117" s="1387"/>
    </row>
    <row r="118" spans="2:13" ht="17.399999999999999" thickBot="1" x14ac:dyDescent="0.45">
      <c r="B118" s="1029"/>
      <c r="C118" s="1028"/>
      <c r="D118" s="969"/>
      <c r="E118" s="1388"/>
      <c r="F118" s="1389"/>
      <c r="G118" s="1390"/>
      <c r="H118" s="968"/>
      <c r="I118" s="1391"/>
    </row>
    <row r="119" spans="2:13" ht="16.2" thickBot="1" x14ac:dyDescent="0.35">
      <c r="B119" s="1309" t="s">
        <v>690</v>
      </c>
      <c r="C119" s="1310"/>
      <c r="D119" s="1310"/>
      <c r="E119" s="1310"/>
      <c r="F119" s="1310"/>
      <c r="G119" s="1310"/>
      <c r="H119" s="1310"/>
      <c r="I119" s="1313"/>
    </row>
    <row r="120" spans="2:13" x14ac:dyDescent="0.3">
      <c r="B120" s="959" t="s">
        <v>565</v>
      </c>
      <c r="C120" s="960"/>
      <c r="D120" s="965"/>
      <c r="E120" s="198" t="s">
        <v>572</v>
      </c>
      <c r="F120" s="991" t="s">
        <v>576</v>
      </c>
      <c r="G120" s="991"/>
      <c r="H120" s="991" t="s">
        <v>582</v>
      </c>
      <c r="I120" s="999"/>
    </row>
    <row r="121" spans="2:13" ht="15.6" x14ac:dyDescent="0.3">
      <c r="B121" s="961"/>
      <c r="C121" s="962"/>
      <c r="D121" s="963"/>
      <c r="E121" s="1329"/>
      <c r="F121" s="988"/>
      <c r="G121" s="963"/>
      <c r="H121" s="1330"/>
      <c r="I121" s="989"/>
    </row>
    <row r="122" spans="2:13" x14ac:dyDescent="0.3">
      <c r="B122" s="959" t="s">
        <v>584</v>
      </c>
      <c r="C122" s="965"/>
      <c r="D122" s="964" t="s">
        <v>586</v>
      </c>
      <c r="E122" s="965"/>
      <c r="F122" s="964" t="s">
        <v>591</v>
      </c>
      <c r="G122" s="965"/>
      <c r="H122" s="964" t="s">
        <v>600</v>
      </c>
      <c r="I122" s="987"/>
    </row>
    <row r="123" spans="2:13" x14ac:dyDescent="0.3">
      <c r="B123" s="1331"/>
      <c r="C123" s="1332"/>
      <c r="D123" s="1332"/>
      <c r="E123" s="1332"/>
      <c r="F123" s="1332"/>
      <c r="G123" s="1332"/>
      <c r="H123" s="1332"/>
      <c r="I123" s="1333"/>
    </row>
    <row r="124" spans="2:13" x14ac:dyDescent="0.3">
      <c r="B124" s="990" t="s">
        <v>602</v>
      </c>
      <c r="C124" s="991"/>
      <c r="D124" s="991"/>
      <c r="E124" s="991"/>
      <c r="F124" s="991" t="s">
        <v>682</v>
      </c>
      <c r="G124" s="991"/>
      <c r="H124" s="991"/>
      <c r="I124" s="999"/>
    </row>
    <row r="125" spans="2:13" ht="15.6" x14ac:dyDescent="0.3">
      <c r="B125" s="1331"/>
      <c r="C125" s="1334"/>
      <c r="D125" s="1335"/>
      <c r="E125" s="963"/>
      <c r="F125" s="1332"/>
      <c r="G125" s="1334"/>
      <c r="H125" s="1335"/>
      <c r="I125" s="989"/>
    </row>
    <row r="126" spans="2:13" ht="15.6" x14ac:dyDescent="0.3">
      <c r="B126" s="1336"/>
      <c r="C126" s="1337"/>
      <c r="D126" s="1338"/>
      <c r="E126" s="1339"/>
      <c r="F126" s="1340"/>
      <c r="G126" s="1337"/>
      <c r="H126" s="1338"/>
      <c r="I126" s="1341"/>
    </row>
    <row r="127" spans="2:13" ht="15.6" x14ac:dyDescent="0.3">
      <c r="B127" s="1336"/>
      <c r="C127" s="1337"/>
      <c r="D127" s="1338"/>
      <c r="E127" s="1339"/>
      <c r="F127" s="1340"/>
      <c r="G127" s="1337"/>
      <c r="H127" s="1338"/>
      <c r="I127" s="1341"/>
    </row>
    <row r="128" spans="2:13" ht="15.6" x14ac:dyDescent="0.3">
      <c r="B128" s="1336"/>
      <c r="C128" s="1337"/>
      <c r="D128" s="1338"/>
      <c r="E128" s="1339"/>
      <c r="F128" s="1340"/>
      <c r="G128" s="1337"/>
      <c r="H128" s="1338"/>
      <c r="I128" s="1341"/>
      <c r="L128" s="1343"/>
      <c r="M128" s="1343"/>
    </row>
    <row r="129" spans="2:9" ht="15.6" x14ac:dyDescent="0.3">
      <c r="B129" s="1336"/>
      <c r="C129" s="1337"/>
      <c r="D129" s="1338"/>
      <c r="E129" s="1339"/>
      <c r="F129" s="1340"/>
      <c r="G129" s="1337"/>
      <c r="H129" s="1338"/>
      <c r="I129" s="1341"/>
    </row>
    <row r="130" spans="2:9" ht="15.6" x14ac:dyDescent="0.3">
      <c r="B130" s="1336"/>
      <c r="C130" s="1337"/>
      <c r="D130" s="1338"/>
      <c r="E130" s="1339"/>
      <c r="F130" s="1340"/>
      <c r="G130" s="1337"/>
      <c r="H130" s="1338"/>
      <c r="I130" s="1341"/>
    </row>
    <row r="131" spans="2:9" ht="15.6" x14ac:dyDescent="0.3">
      <c r="B131" s="1336"/>
      <c r="C131" s="1337"/>
      <c r="D131" s="1338"/>
      <c r="E131" s="1339"/>
      <c r="F131" s="1344"/>
      <c r="G131" s="1345"/>
      <c r="H131" s="1345"/>
      <c r="I131" s="1346"/>
    </row>
    <row r="132" spans="2:9" ht="15.6" x14ac:dyDescent="0.3">
      <c r="B132" s="1336"/>
      <c r="C132" s="1337"/>
      <c r="D132" s="1338"/>
      <c r="E132" s="1339"/>
      <c r="F132" s="1347"/>
      <c r="G132" s="1348"/>
      <c r="H132" s="1348"/>
      <c r="I132" s="1349"/>
    </row>
    <row r="133" spans="2:9" ht="15.6" customHeight="1" x14ac:dyDescent="0.3">
      <c r="B133" s="1350" t="s">
        <v>683</v>
      </c>
      <c r="C133" s="1351"/>
      <c r="D133" s="1351"/>
      <c r="E133" s="1351"/>
      <c r="F133" s="1351"/>
      <c r="G133" s="1351"/>
      <c r="H133" s="1351"/>
      <c r="I133" s="1352"/>
    </row>
    <row r="134" spans="2:9" x14ac:dyDescent="0.3">
      <c r="B134" s="1353" t="s">
        <v>24</v>
      </c>
      <c r="C134" s="1354" t="s">
        <v>178</v>
      </c>
      <c r="D134" s="1355" t="s">
        <v>184</v>
      </c>
      <c r="E134" s="1355" t="s">
        <v>183</v>
      </c>
      <c r="F134" s="1354" t="s">
        <v>26</v>
      </c>
      <c r="G134" s="1354" t="s">
        <v>166</v>
      </c>
      <c r="H134" s="1354" t="s">
        <v>27</v>
      </c>
      <c r="I134" s="1356" t="s">
        <v>684</v>
      </c>
    </row>
    <row r="135" spans="2:9" x14ac:dyDescent="0.3">
      <c r="B135" s="1357" t="s">
        <v>167</v>
      </c>
      <c r="C135" s="1358"/>
      <c r="D135" s="1359"/>
      <c r="E135" s="1359"/>
      <c r="F135" s="1360"/>
      <c r="G135" s="1360"/>
      <c r="H135" s="1361">
        <f>F135*(1+(G135/100))</f>
        <v>0</v>
      </c>
      <c r="I135" s="1362"/>
    </row>
    <row r="136" spans="2:9" x14ac:dyDescent="0.3">
      <c r="B136" s="1357" t="s">
        <v>168</v>
      </c>
      <c r="C136" s="1358"/>
      <c r="D136" s="1359"/>
      <c r="E136" s="1359"/>
      <c r="F136" s="1360"/>
      <c r="G136" s="1360"/>
      <c r="H136" s="1361">
        <f t="shared" ref="H136:H139" si="3">F136*(1+(G136/100))</f>
        <v>0</v>
      </c>
      <c r="I136" s="1362"/>
    </row>
    <row r="137" spans="2:9" x14ac:dyDescent="0.3">
      <c r="B137" s="1357" t="s">
        <v>185</v>
      </c>
      <c r="C137" s="1358"/>
      <c r="D137" s="1359"/>
      <c r="E137" s="1359"/>
      <c r="F137" s="1360"/>
      <c r="G137" s="1360"/>
      <c r="H137" s="1361">
        <f t="shared" si="3"/>
        <v>0</v>
      </c>
      <c r="I137" s="1362"/>
    </row>
    <row r="138" spans="2:9" x14ac:dyDescent="0.3">
      <c r="B138" s="1357" t="s">
        <v>186</v>
      </c>
      <c r="C138" s="1358"/>
      <c r="D138" s="1359"/>
      <c r="E138" s="1359"/>
      <c r="F138" s="1360"/>
      <c r="G138" s="1360"/>
      <c r="H138" s="1361">
        <f t="shared" si="3"/>
        <v>0</v>
      </c>
      <c r="I138" s="1362"/>
    </row>
    <row r="139" spans="2:9" x14ac:dyDescent="0.3">
      <c r="B139" s="1357" t="s">
        <v>187</v>
      </c>
      <c r="C139" s="1363"/>
      <c r="D139" s="1364"/>
      <c r="E139" s="1364"/>
      <c r="F139" s="1365"/>
      <c r="G139" s="1365"/>
      <c r="H139" s="1361">
        <f t="shared" si="3"/>
        <v>0</v>
      </c>
      <c r="I139" s="1362"/>
    </row>
    <row r="140" spans="2:9" x14ac:dyDescent="0.3">
      <c r="B140" s="959" t="s">
        <v>685</v>
      </c>
      <c r="C140" s="960"/>
      <c r="D140" s="960"/>
      <c r="E140" s="960"/>
      <c r="F140" s="960"/>
      <c r="G140" s="960"/>
      <c r="H140" s="960"/>
      <c r="I140" s="987"/>
    </row>
    <row r="141" spans="2:9" ht="16.2" customHeight="1" x14ac:dyDescent="0.3">
      <c r="B141" s="1366"/>
      <c r="C141" s="1367"/>
      <c r="D141" s="1367"/>
      <c r="E141" s="1367"/>
      <c r="F141" s="1367"/>
      <c r="G141" s="1367"/>
      <c r="H141" s="1367"/>
      <c r="I141" s="1368"/>
    </row>
    <row r="142" spans="2:9" ht="14.4" customHeight="1" x14ac:dyDescent="0.3">
      <c r="B142" s="1366"/>
      <c r="C142" s="1367"/>
      <c r="D142" s="1367"/>
      <c r="E142" s="1367"/>
      <c r="F142" s="1367"/>
      <c r="G142" s="1367"/>
      <c r="H142" s="1367"/>
      <c r="I142" s="1368"/>
    </row>
    <row r="143" spans="2:9" ht="14.4" customHeight="1" x14ac:dyDescent="0.3">
      <c r="B143" s="1366"/>
      <c r="C143" s="1367"/>
      <c r="D143" s="1367"/>
      <c r="E143" s="1367"/>
      <c r="F143" s="1367"/>
      <c r="G143" s="1367"/>
      <c r="H143" s="1367"/>
      <c r="I143" s="1368"/>
    </row>
    <row r="144" spans="2:9" ht="14.4" customHeight="1" x14ac:dyDescent="0.3">
      <c r="B144" s="1366"/>
      <c r="C144" s="1367"/>
      <c r="D144" s="1367"/>
      <c r="E144" s="1367"/>
      <c r="F144" s="1367"/>
      <c r="G144" s="1367"/>
      <c r="H144" s="1367"/>
      <c r="I144" s="1368"/>
    </row>
    <row r="145" spans="2:9" ht="14.4" customHeight="1" x14ac:dyDescent="0.3">
      <c r="B145" s="1366"/>
      <c r="C145" s="1367"/>
      <c r="D145" s="1367"/>
      <c r="E145" s="1367"/>
      <c r="F145" s="1367"/>
      <c r="G145" s="1367"/>
      <c r="H145" s="1367"/>
      <c r="I145" s="1368"/>
    </row>
    <row r="146" spans="2:9" ht="14.4" customHeight="1" x14ac:dyDescent="0.3">
      <c r="B146" s="1369"/>
      <c r="C146" s="1370"/>
      <c r="D146" s="1370"/>
      <c r="E146" s="1370"/>
      <c r="F146" s="1370"/>
      <c r="G146" s="1370"/>
      <c r="H146" s="1370"/>
      <c r="I146" s="1371"/>
    </row>
    <row r="147" spans="2:9" x14ac:dyDescent="0.3">
      <c r="B147" s="959" t="s">
        <v>155</v>
      </c>
      <c r="C147" s="960"/>
      <c r="D147" s="965"/>
      <c r="E147" s="1372" t="s">
        <v>326</v>
      </c>
      <c r="F147" s="1373"/>
      <c r="G147" s="1374"/>
      <c r="H147" s="1375" t="s">
        <v>156</v>
      </c>
      <c r="I147" s="1376" t="s">
        <v>552</v>
      </c>
    </row>
    <row r="148" spans="2:9" ht="16.8" x14ac:dyDescent="0.4">
      <c r="B148" s="961"/>
      <c r="C148" s="962"/>
      <c r="D148" s="963"/>
      <c r="E148" s="1377"/>
      <c r="F148" s="1378"/>
      <c r="G148" s="1379"/>
      <c r="H148" s="705"/>
      <c r="I148" s="1380"/>
    </row>
    <row r="149" spans="2:9" x14ac:dyDescent="0.3">
      <c r="B149" s="959" t="s">
        <v>255</v>
      </c>
      <c r="C149" s="960"/>
      <c r="D149" s="965"/>
      <c r="E149" s="1372" t="s">
        <v>326</v>
      </c>
      <c r="F149" s="1373"/>
      <c r="G149" s="1374"/>
      <c r="H149" s="1375" t="s">
        <v>156</v>
      </c>
      <c r="I149" s="1376" t="s">
        <v>552</v>
      </c>
    </row>
    <row r="150" spans="2:9" ht="16.8" x14ac:dyDescent="0.4">
      <c r="B150" s="961"/>
      <c r="C150" s="962"/>
      <c r="D150" s="963"/>
      <c r="E150" s="1377"/>
      <c r="F150" s="1378"/>
      <c r="G150" s="1379"/>
      <c r="H150" s="705"/>
      <c r="I150" s="1380"/>
    </row>
    <row r="151" spans="2:9" x14ac:dyDescent="0.3">
      <c r="B151" s="959" t="s">
        <v>686</v>
      </c>
      <c r="C151" s="960"/>
      <c r="D151" s="960"/>
      <c r="E151" s="960"/>
      <c r="F151" s="960"/>
      <c r="G151" s="960"/>
      <c r="H151" s="960"/>
      <c r="I151" s="987"/>
    </row>
    <row r="152" spans="2:9" ht="15.6" customHeight="1" x14ac:dyDescent="0.3">
      <c r="B152" s="1012"/>
      <c r="C152" s="1013"/>
      <c r="D152" s="1013"/>
      <c r="E152" s="1013"/>
      <c r="F152" s="1013"/>
      <c r="G152" s="1013"/>
      <c r="H152" s="1013"/>
      <c r="I152" s="1381"/>
    </row>
    <row r="153" spans="2:9" ht="15.6" customHeight="1" x14ac:dyDescent="0.3">
      <c r="B153" s="961"/>
      <c r="C153" s="962"/>
      <c r="D153" s="962"/>
      <c r="E153" s="962"/>
      <c r="F153" s="962"/>
      <c r="G153" s="962"/>
      <c r="H153" s="962"/>
      <c r="I153" s="989"/>
    </row>
    <row r="154" spans="2:9" x14ac:dyDescent="0.3">
      <c r="B154" s="1382" t="s">
        <v>687</v>
      </c>
      <c r="C154" s="1004"/>
      <c r="D154" s="1005"/>
      <c r="E154" s="1383" t="s">
        <v>326</v>
      </c>
      <c r="F154" s="1384"/>
      <c r="G154" s="1385"/>
      <c r="H154" s="1386" t="s">
        <v>552</v>
      </c>
      <c r="I154" s="1387"/>
    </row>
    <row r="155" spans="2:9" ht="17.399999999999999" thickBot="1" x14ac:dyDescent="0.45">
      <c r="B155" s="1029"/>
      <c r="C155" s="1028"/>
      <c r="D155" s="969"/>
      <c r="E155" s="1388"/>
      <c r="F155" s="1389"/>
      <c r="G155" s="1390"/>
      <c r="H155" s="968"/>
      <c r="I155" s="1391"/>
    </row>
    <row r="156" spans="2:9" ht="16.2" thickBot="1" x14ac:dyDescent="0.35">
      <c r="B156" s="1309" t="s">
        <v>691</v>
      </c>
      <c r="C156" s="1310"/>
      <c r="D156" s="1310"/>
      <c r="E156" s="1310"/>
      <c r="F156" s="1310"/>
      <c r="G156" s="1310"/>
      <c r="H156" s="1310"/>
      <c r="I156" s="1313"/>
    </row>
    <row r="157" spans="2:9" x14ac:dyDescent="0.3">
      <c r="B157" s="959" t="s">
        <v>565</v>
      </c>
      <c r="C157" s="960"/>
      <c r="D157" s="965"/>
      <c r="E157" s="198" t="s">
        <v>572</v>
      </c>
      <c r="F157" s="991" t="s">
        <v>576</v>
      </c>
      <c r="G157" s="991"/>
      <c r="H157" s="991" t="s">
        <v>582</v>
      </c>
      <c r="I157" s="999"/>
    </row>
    <row r="158" spans="2:9" ht="15.6" x14ac:dyDescent="0.3">
      <c r="B158" s="961"/>
      <c r="C158" s="962"/>
      <c r="D158" s="963"/>
      <c r="E158" s="1329"/>
      <c r="F158" s="988"/>
      <c r="G158" s="963"/>
      <c r="H158" s="1330"/>
      <c r="I158" s="989"/>
    </row>
    <row r="159" spans="2:9" x14ac:dyDescent="0.3">
      <c r="B159" s="959" t="s">
        <v>584</v>
      </c>
      <c r="C159" s="965"/>
      <c r="D159" s="964" t="s">
        <v>586</v>
      </c>
      <c r="E159" s="965"/>
      <c r="F159" s="964" t="s">
        <v>591</v>
      </c>
      <c r="G159" s="965"/>
      <c r="H159" s="964" t="s">
        <v>600</v>
      </c>
      <c r="I159" s="987"/>
    </row>
    <row r="160" spans="2:9" x14ac:dyDescent="0.3">
      <c r="B160" s="1331"/>
      <c r="C160" s="1332"/>
      <c r="D160" s="1332"/>
      <c r="E160" s="1332"/>
      <c r="F160" s="1332"/>
      <c r="G160" s="1332"/>
      <c r="H160" s="1332"/>
      <c r="I160" s="1333"/>
    </row>
    <row r="161" spans="2:13" x14ac:dyDescent="0.3">
      <c r="B161" s="990" t="s">
        <v>602</v>
      </c>
      <c r="C161" s="991"/>
      <c r="D161" s="991"/>
      <c r="E161" s="991"/>
      <c r="F161" s="991" t="s">
        <v>682</v>
      </c>
      <c r="G161" s="991"/>
      <c r="H161" s="991"/>
      <c r="I161" s="999"/>
    </row>
    <row r="162" spans="2:13" ht="15.6" x14ac:dyDescent="0.3">
      <c r="B162" s="1331"/>
      <c r="C162" s="1334"/>
      <c r="D162" s="1335"/>
      <c r="E162" s="963"/>
      <c r="F162" s="1332"/>
      <c r="G162" s="1334"/>
      <c r="H162" s="1335"/>
      <c r="I162" s="989"/>
    </row>
    <row r="163" spans="2:13" ht="15.6" x14ac:dyDescent="0.3">
      <c r="B163" s="1336"/>
      <c r="C163" s="1337"/>
      <c r="D163" s="1338"/>
      <c r="E163" s="1339"/>
      <c r="F163" s="1340"/>
      <c r="G163" s="1337"/>
      <c r="H163" s="1338"/>
      <c r="I163" s="1341"/>
    </row>
    <row r="164" spans="2:13" ht="15.6" x14ac:dyDescent="0.3">
      <c r="B164" s="1336"/>
      <c r="C164" s="1337"/>
      <c r="D164" s="1338"/>
      <c r="E164" s="1339"/>
      <c r="F164" s="1340"/>
      <c r="G164" s="1337"/>
      <c r="H164" s="1338"/>
      <c r="I164" s="1341"/>
    </row>
    <row r="165" spans="2:13" ht="15.6" x14ac:dyDescent="0.3">
      <c r="B165" s="1336"/>
      <c r="C165" s="1337"/>
      <c r="D165" s="1338"/>
      <c r="E165" s="1339"/>
      <c r="F165" s="1340"/>
      <c r="G165" s="1337"/>
      <c r="H165" s="1338"/>
      <c r="I165" s="1341"/>
      <c r="L165" s="1343"/>
      <c r="M165" s="1343"/>
    </row>
    <row r="166" spans="2:13" ht="15.6" x14ac:dyDescent="0.3">
      <c r="B166" s="1336"/>
      <c r="C166" s="1337"/>
      <c r="D166" s="1338"/>
      <c r="E166" s="1339"/>
      <c r="F166" s="1340"/>
      <c r="G166" s="1337"/>
      <c r="H166" s="1338"/>
      <c r="I166" s="1341"/>
    </row>
    <row r="167" spans="2:13" ht="15.6" x14ac:dyDescent="0.3">
      <c r="B167" s="1336"/>
      <c r="C167" s="1337"/>
      <c r="D167" s="1338"/>
      <c r="E167" s="1339"/>
      <c r="F167" s="1340"/>
      <c r="G167" s="1337"/>
      <c r="H167" s="1338"/>
      <c r="I167" s="1341"/>
    </row>
    <row r="168" spans="2:13" ht="15.6" x14ac:dyDescent="0.3">
      <c r="B168" s="1336"/>
      <c r="C168" s="1337"/>
      <c r="D168" s="1338"/>
      <c r="E168" s="1339"/>
      <c r="F168" s="1344"/>
      <c r="G168" s="1345"/>
      <c r="H168" s="1345"/>
      <c r="I168" s="1346"/>
    </row>
    <row r="169" spans="2:13" ht="15.6" x14ac:dyDescent="0.3">
      <c r="B169" s="1336"/>
      <c r="C169" s="1337"/>
      <c r="D169" s="1338"/>
      <c r="E169" s="1339"/>
      <c r="F169" s="1347"/>
      <c r="G169" s="1348"/>
      <c r="H169" s="1348"/>
      <c r="I169" s="1349"/>
    </row>
    <row r="170" spans="2:13" ht="15.6" customHeight="1" x14ac:dyDescent="0.3">
      <c r="B170" s="1350" t="s">
        <v>683</v>
      </c>
      <c r="C170" s="1351"/>
      <c r="D170" s="1351"/>
      <c r="E170" s="1351"/>
      <c r="F170" s="1351"/>
      <c r="G170" s="1351"/>
      <c r="H170" s="1351"/>
      <c r="I170" s="1352"/>
    </row>
    <row r="171" spans="2:13" x14ac:dyDescent="0.3">
      <c r="B171" s="1353" t="s">
        <v>24</v>
      </c>
      <c r="C171" s="1354" t="s">
        <v>178</v>
      </c>
      <c r="D171" s="1355" t="s">
        <v>184</v>
      </c>
      <c r="E171" s="1355" t="s">
        <v>183</v>
      </c>
      <c r="F171" s="1354" t="s">
        <v>26</v>
      </c>
      <c r="G171" s="1354" t="s">
        <v>166</v>
      </c>
      <c r="H171" s="1354" t="s">
        <v>27</v>
      </c>
      <c r="I171" s="1356" t="s">
        <v>684</v>
      </c>
    </row>
    <row r="172" spans="2:13" x14ac:dyDescent="0.3">
      <c r="B172" s="1357" t="s">
        <v>167</v>
      </c>
      <c r="C172" s="1358"/>
      <c r="D172" s="1359"/>
      <c r="E172" s="1359"/>
      <c r="F172" s="1360"/>
      <c r="G172" s="1360"/>
      <c r="H172" s="1361">
        <f>F172*(1+(G172/100))</f>
        <v>0</v>
      </c>
      <c r="I172" s="1362"/>
    </row>
    <row r="173" spans="2:13" x14ac:dyDescent="0.3">
      <c r="B173" s="1357" t="s">
        <v>168</v>
      </c>
      <c r="C173" s="1358"/>
      <c r="D173" s="1359"/>
      <c r="E173" s="1359"/>
      <c r="F173" s="1360"/>
      <c r="G173" s="1360"/>
      <c r="H173" s="1361">
        <f t="shared" ref="H173:H176" si="4">F173*(1+(G173/100))</f>
        <v>0</v>
      </c>
      <c r="I173" s="1362"/>
    </row>
    <row r="174" spans="2:13" x14ac:dyDescent="0.3">
      <c r="B174" s="1357" t="s">
        <v>185</v>
      </c>
      <c r="C174" s="1358"/>
      <c r="D174" s="1359"/>
      <c r="E174" s="1359"/>
      <c r="F174" s="1360"/>
      <c r="G174" s="1360"/>
      <c r="H174" s="1361">
        <f t="shared" si="4"/>
        <v>0</v>
      </c>
      <c r="I174" s="1362"/>
    </row>
    <row r="175" spans="2:13" x14ac:dyDescent="0.3">
      <c r="B175" s="1357" t="s">
        <v>186</v>
      </c>
      <c r="C175" s="1358"/>
      <c r="D175" s="1359"/>
      <c r="E175" s="1359"/>
      <c r="F175" s="1360"/>
      <c r="G175" s="1360"/>
      <c r="H175" s="1361">
        <f t="shared" si="4"/>
        <v>0</v>
      </c>
      <c r="I175" s="1362"/>
    </row>
    <row r="176" spans="2:13" x14ac:dyDescent="0.3">
      <c r="B176" s="1357" t="s">
        <v>187</v>
      </c>
      <c r="C176" s="1363"/>
      <c r="D176" s="1364"/>
      <c r="E176" s="1364"/>
      <c r="F176" s="1365"/>
      <c r="G176" s="1365"/>
      <c r="H176" s="1361">
        <f t="shared" si="4"/>
        <v>0</v>
      </c>
      <c r="I176" s="1362"/>
    </row>
    <row r="177" spans="2:9" x14ac:dyDescent="0.3">
      <c r="B177" s="959" t="s">
        <v>685</v>
      </c>
      <c r="C177" s="960"/>
      <c r="D177" s="960"/>
      <c r="E177" s="960"/>
      <c r="F177" s="960"/>
      <c r="G177" s="960"/>
      <c r="H177" s="960"/>
      <c r="I177" s="987"/>
    </row>
    <row r="178" spans="2:9" ht="16.2" customHeight="1" x14ac:dyDescent="0.3">
      <c r="B178" s="1366"/>
      <c r="C178" s="1367"/>
      <c r="D178" s="1367"/>
      <c r="E178" s="1367"/>
      <c r="F178" s="1367"/>
      <c r="G178" s="1367"/>
      <c r="H178" s="1367"/>
      <c r="I178" s="1368"/>
    </row>
    <row r="179" spans="2:9" ht="14.4" customHeight="1" x14ac:dyDescent="0.3">
      <c r="B179" s="1366"/>
      <c r="C179" s="1367"/>
      <c r="D179" s="1367"/>
      <c r="E179" s="1367"/>
      <c r="F179" s="1367"/>
      <c r="G179" s="1367"/>
      <c r="H179" s="1367"/>
      <c r="I179" s="1368"/>
    </row>
    <row r="180" spans="2:9" ht="14.4" customHeight="1" x14ac:dyDescent="0.3">
      <c r="B180" s="1366"/>
      <c r="C180" s="1367"/>
      <c r="D180" s="1367"/>
      <c r="E180" s="1367"/>
      <c r="F180" s="1367"/>
      <c r="G180" s="1367"/>
      <c r="H180" s="1367"/>
      <c r="I180" s="1368"/>
    </row>
    <row r="181" spans="2:9" ht="14.4" customHeight="1" x14ac:dyDescent="0.3">
      <c r="B181" s="1366"/>
      <c r="C181" s="1367"/>
      <c r="D181" s="1367"/>
      <c r="E181" s="1367"/>
      <c r="F181" s="1367"/>
      <c r="G181" s="1367"/>
      <c r="H181" s="1367"/>
      <c r="I181" s="1368"/>
    </row>
    <row r="182" spans="2:9" ht="14.4" customHeight="1" x14ac:dyDescent="0.3">
      <c r="B182" s="1366"/>
      <c r="C182" s="1367"/>
      <c r="D182" s="1367"/>
      <c r="E182" s="1367"/>
      <c r="F182" s="1367"/>
      <c r="G182" s="1367"/>
      <c r="H182" s="1367"/>
      <c r="I182" s="1368"/>
    </row>
    <row r="183" spans="2:9" ht="14.4" customHeight="1" x14ac:dyDescent="0.3">
      <c r="B183" s="1369"/>
      <c r="C183" s="1370"/>
      <c r="D183" s="1370"/>
      <c r="E183" s="1370"/>
      <c r="F183" s="1370"/>
      <c r="G183" s="1370"/>
      <c r="H183" s="1370"/>
      <c r="I183" s="1371"/>
    </row>
    <row r="184" spans="2:9" x14ac:dyDescent="0.3">
      <c r="B184" s="959" t="s">
        <v>155</v>
      </c>
      <c r="C184" s="960"/>
      <c r="D184" s="965"/>
      <c r="E184" s="1372" t="s">
        <v>326</v>
      </c>
      <c r="F184" s="1373"/>
      <c r="G184" s="1374"/>
      <c r="H184" s="1375" t="s">
        <v>156</v>
      </c>
      <c r="I184" s="1376" t="s">
        <v>552</v>
      </c>
    </row>
    <row r="185" spans="2:9" ht="16.8" x14ac:dyDescent="0.4">
      <c r="B185" s="961"/>
      <c r="C185" s="962"/>
      <c r="D185" s="963"/>
      <c r="E185" s="1377"/>
      <c r="F185" s="1378"/>
      <c r="G185" s="1379"/>
      <c r="H185" s="705"/>
      <c r="I185" s="1380"/>
    </row>
    <row r="186" spans="2:9" x14ac:dyDescent="0.3">
      <c r="B186" s="959" t="s">
        <v>255</v>
      </c>
      <c r="C186" s="960"/>
      <c r="D186" s="965"/>
      <c r="E186" s="1372" t="s">
        <v>326</v>
      </c>
      <c r="F186" s="1373"/>
      <c r="G186" s="1374"/>
      <c r="H186" s="1375" t="s">
        <v>156</v>
      </c>
      <c r="I186" s="1376" t="s">
        <v>552</v>
      </c>
    </row>
    <row r="187" spans="2:9" ht="16.8" x14ac:dyDescent="0.4">
      <c r="B187" s="961"/>
      <c r="C187" s="962"/>
      <c r="D187" s="963"/>
      <c r="E187" s="1377"/>
      <c r="F187" s="1378"/>
      <c r="G187" s="1379"/>
      <c r="H187" s="705"/>
      <c r="I187" s="1380"/>
    </row>
    <row r="188" spans="2:9" x14ac:dyDescent="0.3">
      <c r="B188" s="959" t="s">
        <v>686</v>
      </c>
      <c r="C188" s="960"/>
      <c r="D188" s="960"/>
      <c r="E188" s="960"/>
      <c r="F188" s="960"/>
      <c r="G188" s="960"/>
      <c r="H188" s="960"/>
      <c r="I188" s="987"/>
    </row>
    <row r="189" spans="2:9" ht="15.6" customHeight="1" x14ac:dyDescent="0.3">
      <c r="B189" s="1012"/>
      <c r="C189" s="1013"/>
      <c r="D189" s="1013"/>
      <c r="E189" s="1013"/>
      <c r="F189" s="1013"/>
      <c r="G189" s="1013"/>
      <c r="H189" s="1013"/>
      <c r="I189" s="1381"/>
    </row>
    <row r="190" spans="2:9" ht="15.6" customHeight="1" x14ac:dyDescent="0.3">
      <c r="B190" s="961"/>
      <c r="C190" s="962"/>
      <c r="D190" s="962"/>
      <c r="E190" s="962"/>
      <c r="F190" s="962"/>
      <c r="G190" s="962"/>
      <c r="H190" s="962"/>
      <c r="I190" s="989"/>
    </row>
    <row r="191" spans="2:9" x14ac:dyDescent="0.3">
      <c r="B191" s="1382" t="s">
        <v>687</v>
      </c>
      <c r="C191" s="1004"/>
      <c r="D191" s="1005"/>
      <c r="E191" s="1383" t="s">
        <v>326</v>
      </c>
      <c r="F191" s="1384"/>
      <c r="G191" s="1385"/>
      <c r="H191" s="1386" t="s">
        <v>552</v>
      </c>
      <c r="I191" s="1387"/>
    </row>
    <row r="192" spans="2:9" ht="17.399999999999999" thickBot="1" x14ac:dyDescent="0.45">
      <c r="B192" s="1029"/>
      <c r="C192" s="1028"/>
      <c r="D192" s="969"/>
      <c r="E192" s="1388"/>
      <c r="F192" s="1389"/>
      <c r="G192" s="1390"/>
      <c r="H192" s="968"/>
      <c r="I192" s="1391"/>
    </row>
  </sheetData>
  <mergeCells count="328">
    <mergeCell ref="B191:D191"/>
    <mergeCell ref="E191:G191"/>
    <mergeCell ref="H191:I191"/>
    <mergeCell ref="B192:D192"/>
    <mergeCell ref="E192:G192"/>
    <mergeCell ref="H192:I192"/>
    <mergeCell ref="B186:D186"/>
    <mergeCell ref="E186:G186"/>
    <mergeCell ref="B187:D187"/>
    <mergeCell ref="E187:G187"/>
    <mergeCell ref="B188:I188"/>
    <mergeCell ref="B189:I190"/>
    <mergeCell ref="B170:I170"/>
    <mergeCell ref="B177:I177"/>
    <mergeCell ref="B178:I183"/>
    <mergeCell ref="B184:D184"/>
    <mergeCell ref="E184:G184"/>
    <mergeCell ref="B185:D185"/>
    <mergeCell ref="E185:G185"/>
    <mergeCell ref="B167:C167"/>
    <mergeCell ref="D167:E167"/>
    <mergeCell ref="F167:G167"/>
    <mergeCell ref="H167:I167"/>
    <mergeCell ref="B168:C168"/>
    <mergeCell ref="D168:E168"/>
    <mergeCell ref="F168:I169"/>
    <mergeCell ref="B169:C169"/>
    <mergeCell ref="D169:E169"/>
    <mergeCell ref="B165:C165"/>
    <mergeCell ref="D165:E165"/>
    <mergeCell ref="F165:G165"/>
    <mergeCell ref="H165:I165"/>
    <mergeCell ref="B166:C166"/>
    <mergeCell ref="D166:E166"/>
    <mergeCell ref="F166:G166"/>
    <mergeCell ref="H166:I166"/>
    <mergeCell ref="B163:C163"/>
    <mergeCell ref="D163:E163"/>
    <mergeCell ref="F163:G163"/>
    <mergeCell ref="H163:I163"/>
    <mergeCell ref="B164:C164"/>
    <mergeCell ref="D164:E164"/>
    <mergeCell ref="F164:G164"/>
    <mergeCell ref="H164:I164"/>
    <mergeCell ref="B161:E161"/>
    <mergeCell ref="F161:I161"/>
    <mergeCell ref="B162:C162"/>
    <mergeCell ref="D162:E162"/>
    <mergeCell ref="F162:G162"/>
    <mergeCell ref="H162:I162"/>
    <mergeCell ref="B159:C159"/>
    <mergeCell ref="D159:E159"/>
    <mergeCell ref="F159:G159"/>
    <mergeCell ref="H159:I159"/>
    <mergeCell ref="B160:C160"/>
    <mergeCell ref="D160:E160"/>
    <mergeCell ref="F160:G160"/>
    <mergeCell ref="H160:I160"/>
    <mergeCell ref="B156:I156"/>
    <mergeCell ref="B157:D157"/>
    <mergeCell ref="F157:G157"/>
    <mergeCell ref="H157:I157"/>
    <mergeCell ref="B158:D158"/>
    <mergeCell ref="F158:G158"/>
    <mergeCell ref="H158:I158"/>
    <mergeCell ref="B154:D154"/>
    <mergeCell ref="E154:G154"/>
    <mergeCell ref="H154:I154"/>
    <mergeCell ref="B155:D155"/>
    <mergeCell ref="E155:G155"/>
    <mergeCell ref="H155:I155"/>
    <mergeCell ref="B149:D149"/>
    <mergeCell ref="E149:G149"/>
    <mergeCell ref="B150:D150"/>
    <mergeCell ref="E150:G150"/>
    <mergeCell ref="B151:I151"/>
    <mergeCell ref="B152:I153"/>
    <mergeCell ref="B133:I133"/>
    <mergeCell ref="B140:I140"/>
    <mergeCell ref="B141:I146"/>
    <mergeCell ref="B147:D147"/>
    <mergeCell ref="E147:G147"/>
    <mergeCell ref="B148:D148"/>
    <mergeCell ref="E148:G148"/>
    <mergeCell ref="B130:C130"/>
    <mergeCell ref="D130:E130"/>
    <mergeCell ref="F130:G130"/>
    <mergeCell ref="H130:I130"/>
    <mergeCell ref="B131:C131"/>
    <mergeCell ref="D131:E131"/>
    <mergeCell ref="F131:I132"/>
    <mergeCell ref="B132:C132"/>
    <mergeCell ref="D132:E132"/>
    <mergeCell ref="B128:C128"/>
    <mergeCell ref="D128:E128"/>
    <mergeCell ref="F128:G128"/>
    <mergeCell ref="H128:I128"/>
    <mergeCell ref="B129:C129"/>
    <mergeCell ref="D129:E129"/>
    <mergeCell ref="F129:G129"/>
    <mergeCell ref="H129:I129"/>
    <mergeCell ref="B126:C126"/>
    <mergeCell ref="D126:E126"/>
    <mergeCell ref="F126:G126"/>
    <mergeCell ref="H126:I126"/>
    <mergeCell ref="B127:C127"/>
    <mergeCell ref="D127:E127"/>
    <mergeCell ref="F127:G127"/>
    <mergeCell ref="H127:I127"/>
    <mergeCell ref="B124:E124"/>
    <mergeCell ref="F124:I124"/>
    <mergeCell ref="B125:C125"/>
    <mergeCell ref="D125:E125"/>
    <mergeCell ref="F125:G125"/>
    <mergeCell ref="H125:I125"/>
    <mergeCell ref="B122:C122"/>
    <mergeCell ref="D122:E122"/>
    <mergeCell ref="F122:G122"/>
    <mergeCell ref="H122:I122"/>
    <mergeCell ref="B123:C123"/>
    <mergeCell ref="D123:E123"/>
    <mergeCell ref="F123:G123"/>
    <mergeCell ref="H123:I123"/>
    <mergeCell ref="B119:I119"/>
    <mergeCell ref="B120:D120"/>
    <mergeCell ref="F120:G120"/>
    <mergeCell ref="H120:I120"/>
    <mergeCell ref="B121:D121"/>
    <mergeCell ref="F121:G121"/>
    <mergeCell ref="H121:I121"/>
    <mergeCell ref="B117:D117"/>
    <mergeCell ref="E117:G117"/>
    <mergeCell ref="H117:I117"/>
    <mergeCell ref="B118:D118"/>
    <mergeCell ref="E118:G118"/>
    <mergeCell ref="H118:I118"/>
    <mergeCell ref="B112:D112"/>
    <mergeCell ref="E112:G112"/>
    <mergeCell ref="B113:D113"/>
    <mergeCell ref="E113:G113"/>
    <mergeCell ref="B114:I114"/>
    <mergeCell ref="B115:I116"/>
    <mergeCell ref="B96:I96"/>
    <mergeCell ref="B103:I103"/>
    <mergeCell ref="B104:I109"/>
    <mergeCell ref="B110:D110"/>
    <mergeCell ref="E110:G110"/>
    <mergeCell ref="B111:D111"/>
    <mergeCell ref="E111:G111"/>
    <mergeCell ref="B93:C93"/>
    <mergeCell ref="D93:E93"/>
    <mergeCell ref="F93:G93"/>
    <mergeCell ref="H93:I93"/>
    <mergeCell ref="B94:C94"/>
    <mergeCell ref="D94:E94"/>
    <mergeCell ref="F94:I95"/>
    <mergeCell ref="B95:C95"/>
    <mergeCell ref="D95:E95"/>
    <mergeCell ref="B91:C91"/>
    <mergeCell ref="D91:E91"/>
    <mergeCell ref="F91:G91"/>
    <mergeCell ref="H91:I91"/>
    <mergeCell ref="B92:C92"/>
    <mergeCell ref="D92:E92"/>
    <mergeCell ref="F92:G92"/>
    <mergeCell ref="H92:I92"/>
    <mergeCell ref="B89:C89"/>
    <mergeCell ref="D89:E89"/>
    <mergeCell ref="F89:G89"/>
    <mergeCell ref="H89:I89"/>
    <mergeCell ref="B90:C90"/>
    <mergeCell ref="D90:E90"/>
    <mergeCell ref="F90:G90"/>
    <mergeCell ref="H90:I90"/>
    <mergeCell ref="B87:E87"/>
    <mergeCell ref="F87:I87"/>
    <mergeCell ref="B88:C88"/>
    <mergeCell ref="D88:E88"/>
    <mergeCell ref="F88:G88"/>
    <mergeCell ref="H88:I88"/>
    <mergeCell ref="B85:C85"/>
    <mergeCell ref="D85:E85"/>
    <mergeCell ref="F85:G85"/>
    <mergeCell ref="H85:I85"/>
    <mergeCell ref="B86:C86"/>
    <mergeCell ref="D86:E86"/>
    <mergeCell ref="F86:G86"/>
    <mergeCell ref="H86:I86"/>
    <mergeCell ref="B82:I82"/>
    <mergeCell ref="B83:D83"/>
    <mergeCell ref="F83:G83"/>
    <mergeCell ref="H83:I83"/>
    <mergeCell ref="B84:D84"/>
    <mergeCell ref="F84:G84"/>
    <mergeCell ref="H84:I84"/>
    <mergeCell ref="B80:D80"/>
    <mergeCell ref="E80:G80"/>
    <mergeCell ref="H80:I80"/>
    <mergeCell ref="B81:D81"/>
    <mergeCell ref="E81:G81"/>
    <mergeCell ref="H81:I81"/>
    <mergeCell ref="B75:D75"/>
    <mergeCell ref="E75:G75"/>
    <mergeCell ref="B76:D76"/>
    <mergeCell ref="E76:G76"/>
    <mergeCell ref="B77:I77"/>
    <mergeCell ref="B78:I79"/>
    <mergeCell ref="B59:I59"/>
    <mergeCell ref="B66:I66"/>
    <mergeCell ref="B67:I72"/>
    <mergeCell ref="B73:D73"/>
    <mergeCell ref="E73:G73"/>
    <mergeCell ref="B74:D74"/>
    <mergeCell ref="E74:G74"/>
    <mergeCell ref="B56:C56"/>
    <mergeCell ref="D56:E56"/>
    <mergeCell ref="F56:G56"/>
    <mergeCell ref="H56:I56"/>
    <mergeCell ref="B57:C57"/>
    <mergeCell ref="D57:E57"/>
    <mergeCell ref="F57:I58"/>
    <mergeCell ref="B58:C58"/>
    <mergeCell ref="D58:E58"/>
    <mergeCell ref="B54:C54"/>
    <mergeCell ref="D54:E54"/>
    <mergeCell ref="F54:G54"/>
    <mergeCell ref="H54:I54"/>
    <mergeCell ref="B55:C55"/>
    <mergeCell ref="D55:E55"/>
    <mergeCell ref="F55:G55"/>
    <mergeCell ref="H55:I55"/>
    <mergeCell ref="B52:C52"/>
    <mergeCell ref="D52:E52"/>
    <mergeCell ref="F52:G52"/>
    <mergeCell ref="H52:I52"/>
    <mergeCell ref="B53:C53"/>
    <mergeCell ref="D53:E53"/>
    <mergeCell ref="F53:G53"/>
    <mergeCell ref="H53:I53"/>
    <mergeCell ref="B50:E50"/>
    <mergeCell ref="F50:I50"/>
    <mergeCell ref="B51:C51"/>
    <mergeCell ref="D51:E51"/>
    <mergeCell ref="F51:G51"/>
    <mergeCell ref="H51:I51"/>
    <mergeCell ref="B48:C48"/>
    <mergeCell ref="D48:E48"/>
    <mergeCell ref="F48:G48"/>
    <mergeCell ref="H48:I48"/>
    <mergeCell ref="B49:C49"/>
    <mergeCell ref="D49:E49"/>
    <mergeCell ref="F49:G49"/>
    <mergeCell ref="H49:I49"/>
    <mergeCell ref="B45:I45"/>
    <mergeCell ref="B46:D46"/>
    <mergeCell ref="F46:G46"/>
    <mergeCell ref="H46:I46"/>
    <mergeCell ref="B47:D47"/>
    <mergeCell ref="F47:G47"/>
    <mergeCell ref="H47:I47"/>
    <mergeCell ref="B43:D43"/>
    <mergeCell ref="E43:G43"/>
    <mergeCell ref="H43:I43"/>
    <mergeCell ref="B44:D44"/>
    <mergeCell ref="E44:G44"/>
    <mergeCell ref="H44:I44"/>
    <mergeCell ref="B38:D38"/>
    <mergeCell ref="E38:G38"/>
    <mergeCell ref="B39:D39"/>
    <mergeCell ref="E39:G39"/>
    <mergeCell ref="B40:I40"/>
    <mergeCell ref="B41:I42"/>
    <mergeCell ref="B29:I29"/>
    <mergeCell ref="B30:I35"/>
    <mergeCell ref="B36:D36"/>
    <mergeCell ref="E36:G36"/>
    <mergeCell ref="B37:D37"/>
    <mergeCell ref="E37:G37"/>
    <mergeCell ref="B20:C20"/>
    <mergeCell ref="D20:E20"/>
    <mergeCell ref="F20:I21"/>
    <mergeCell ref="B21:C21"/>
    <mergeCell ref="D21:E21"/>
    <mergeCell ref="B22:I22"/>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E13"/>
    <mergeCell ref="F13:I13"/>
    <mergeCell ref="B10:D10"/>
    <mergeCell ref="F10:G10"/>
    <mergeCell ref="H10:I10"/>
    <mergeCell ref="B11:C11"/>
    <mergeCell ref="D11:E11"/>
    <mergeCell ref="F11:G11"/>
    <mergeCell ref="H11:I11"/>
    <mergeCell ref="B1:F1"/>
    <mergeCell ref="G1:I1"/>
    <mergeCell ref="B2:I2"/>
    <mergeCell ref="B8:I8"/>
    <mergeCell ref="B9:D9"/>
    <mergeCell ref="F9:G9"/>
    <mergeCell ref="H9:I9"/>
  </mergeCells>
  <pageMargins left="0.7" right="0.7" top="0.75" bottom="0.75" header="0.3" footer="0.3"/>
  <pageSetup scale="62" fitToHeight="0" orientation="portrait" horizontalDpi="0" verticalDpi="0" r:id="rId1"/>
  <rowBreaks count="4" manualBreakCount="4">
    <brk id="44" max="16383" man="1"/>
    <brk id="81" max="16383" man="1"/>
    <brk id="118" max="16383" man="1"/>
    <brk id="155" max="16383" man="1"/>
  </rowBreaks>
  <colBreaks count="1" manualBreakCount="1">
    <brk id="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22860</xdr:colOff>
                    <xdr:row>11</xdr:row>
                    <xdr:rowOff>0</xdr:rowOff>
                  </from>
                  <to>
                    <xdr:col>2</xdr:col>
                    <xdr:colOff>129540</xdr:colOff>
                    <xdr:row>12</xdr:row>
                    <xdr:rowOff>22860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990600</xdr:colOff>
                    <xdr:row>11</xdr:row>
                    <xdr:rowOff>22860</xdr:rowOff>
                  </from>
                  <to>
                    <xdr:col>2</xdr:col>
                    <xdr:colOff>1143000</xdr:colOff>
                    <xdr:row>12</xdr:row>
                    <xdr:rowOff>15240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3</xdr:col>
                    <xdr:colOff>22860</xdr:colOff>
                    <xdr:row>11</xdr:row>
                    <xdr:rowOff>0</xdr:rowOff>
                  </from>
                  <to>
                    <xdr:col>3</xdr:col>
                    <xdr:colOff>929640</xdr:colOff>
                    <xdr:row>12</xdr:row>
                    <xdr:rowOff>22860</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3</xdr:col>
                    <xdr:colOff>990600</xdr:colOff>
                    <xdr:row>11</xdr:row>
                    <xdr:rowOff>22860</xdr:rowOff>
                  </from>
                  <to>
                    <xdr:col>4</xdr:col>
                    <xdr:colOff>647700</xdr:colOff>
                    <xdr:row>12</xdr:row>
                    <xdr:rowOff>15240</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5</xdr:col>
                    <xdr:colOff>22860</xdr:colOff>
                    <xdr:row>11</xdr:row>
                    <xdr:rowOff>0</xdr:rowOff>
                  </from>
                  <to>
                    <xdr:col>5</xdr:col>
                    <xdr:colOff>929640</xdr:colOff>
                    <xdr:row>12</xdr:row>
                    <xdr:rowOff>22860</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5</xdr:col>
                    <xdr:colOff>990600</xdr:colOff>
                    <xdr:row>11</xdr:row>
                    <xdr:rowOff>22860</xdr:rowOff>
                  </from>
                  <to>
                    <xdr:col>6</xdr:col>
                    <xdr:colOff>1059180</xdr:colOff>
                    <xdr:row>12</xdr:row>
                    <xdr:rowOff>15240</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1</xdr:col>
                    <xdr:colOff>22860</xdr:colOff>
                    <xdr:row>13</xdr:row>
                    <xdr:rowOff>7620</xdr:rowOff>
                  </from>
                  <to>
                    <xdr:col>2</xdr:col>
                    <xdr:colOff>1150620</xdr:colOff>
                    <xdr:row>14</xdr:row>
                    <xdr:rowOff>53340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5</xdr:col>
                    <xdr:colOff>22860</xdr:colOff>
                    <xdr:row>13</xdr:row>
                    <xdr:rowOff>0</xdr:rowOff>
                  </from>
                  <to>
                    <xdr:col>6</xdr:col>
                    <xdr:colOff>1402080</xdr:colOff>
                    <xdr:row>14</xdr:row>
                    <xdr:rowOff>60960</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1</xdr:col>
                    <xdr:colOff>38100</xdr:colOff>
                    <xdr:row>13</xdr:row>
                    <xdr:rowOff>182880</xdr:rowOff>
                  </from>
                  <to>
                    <xdr:col>2</xdr:col>
                    <xdr:colOff>1165860</xdr:colOff>
                    <xdr:row>15</xdr:row>
                    <xdr:rowOff>76200</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5</xdr:col>
                    <xdr:colOff>22860</xdr:colOff>
                    <xdr:row>14</xdr:row>
                    <xdr:rowOff>0</xdr:rowOff>
                  </from>
                  <to>
                    <xdr:col>6</xdr:col>
                    <xdr:colOff>1402080</xdr:colOff>
                    <xdr:row>15</xdr:row>
                    <xdr:rowOff>60960</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1</xdr:col>
                    <xdr:colOff>22860</xdr:colOff>
                    <xdr:row>15</xdr:row>
                    <xdr:rowOff>7620</xdr:rowOff>
                  </from>
                  <to>
                    <xdr:col>2</xdr:col>
                    <xdr:colOff>1150620</xdr:colOff>
                    <xdr:row>16</xdr:row>
                    <xdr:rowOff>53340</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5</xdr:col>
                    <xdr:colOff>22860</xdr:colOff>
                    <xdr:row>15</xdr:row>
                    <xdr:rowOff>0</xdr:rowOff>
                  </from>
                  <to>
                    <xdr:col>6</xdr:col>
                    <xdr:colOff>1402080</xdr:colOff>
                    <xdr:row>16</xdr:row>
                    <xdr:rowOff>60960</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1</xdr:col>
                    <xdr:colOff>22860</xdr:colOff>
                    <xdr:row>16</xdr:row>
                    <xdr:rowOff>7620</xdr:rowOff>
                  </from>
                  <to>
                    <xdr:col>2</xdr:col>
                    <xdr:colOff>1150620</xdr:colOff>
                    <xdr:row>17</xdr:row>
                    <xdr:rowOff>53340</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5</xdr:col>
                    <xdr:colOff>22860</xdr:colOff>
                    <xdr:row>16</xdr:row>
                    <xdr:rowOff>0</xdr:rowOff>
                  </from>
                  <to>
                    <xdr:col>6</xdr:col>
                    <xdr:colOff>1402080</xdr:colOff>
                    <xdr:row>17</xdr:row>
                    <xdr:rowOff>60960</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1</xdr:col>
                    <xdr:colOff>22860</xdr:colOff>
                    <xdr:row>17</xdr:row>
                    <xdr:rowOff>7620</xdr:rowOff>
                  </from>
                  <to>
                    <xdr:col>2</xdr:col>
                    <xdr:colOff>1150620</xdr:colOff>
                    <xdr:row>18</xdr:row>
                    <xdr:rowOff>53340</xdr:rowOff>
                  </to>
                </anchor>
              </controlPr>
            </control>
          </mc:Choice>
        </mc:AlternateContent>
        <mc:AlternateContent xmlns:mc="http://schemas.openxmlformats.org/markup-compatibility/2006">
          <mc:Choice Requires="x14">
            <control shapeId="35856" r:id="rId19" name="Check Box 16">
              <controlPr defaultSize="0" autoFill="0" autoLine="0" autoPict="0">
                <anchor moveWithCells="1">
                  <from>
                    <xdr:col>5</xdr:col>
                    <xdr:colOff>22860</xdr:colOff>
                    <xdr:row>17</xdr:row>
                    <xdr:rowOff>0</xdr:rowOff>
                  </from>
                  <to>
                    <xdr:col>6</xdr:col>
                    <xdr:colOff>1402080</xdr:colOff>
                    <xdr:row>18</xdr:row>
                    <xdr:rowOff>60960</xdr:rowOff>
                  </to>
                </anchor>
              </controlPr>
            </control>
          </mc:Choice>
        </mc:AlternateContent>
        <mc:AlternateContent xmlns:mc="http://schemas.openxmlformats.org/markup-compatibility/2006">
          <mc:Choice Requires="x14">
            <control shapeId="35857" r:id="rId20" name="Check Box 17">
              <controlPr defaultSize="0" autoFill="0" autoLine="0" autoPict="0">
                <anchor moveWithCells="1">
                  <from>
                    <xdr:col>1</xdr:col>
                    <xdr:colOff>22860</xdr:colOff>
                    <xdr:row>18</xdr:row>
                    <xdr:rowOff>7620</xdr:rowOff>
                  </from>
                  <to>
                    <xdr:col>2</xdr:col>
                    <xdr:colOff>1150620</xdr:colOff>
                    <xdr:row>19</xdr:row>
                    <xdr:rowOff>53340</xdr:rowOff>
                  </to>
                </anchor>
              </controlPr>
            </control>
          </mc:Choice>
        </mc:AlternateContent>
        <mc:AlternateContent xmlns:mc="http://schemas.openxmlformats.org/markup-compatibility/2006">
          <mc:Choice Requires="x14">
            <control shapeId="35858" r:id="rId21" name="Check Box 18">
              <controlPr defaultSize="0" autoFill="0" autoLine="0" autoPict="0">
                <anchor moveWithCells="1">
                  <from>
                    <xdr:col>5</xdr:col>
                    <xdr:colOff>22860</xdr:colOff>
                    <xdr:row>18</xdr:row>
                    <xdr:rowOff>0</xdr:rowOff>
                  </from>
                  <to>
                    <xdr:col>6</xdr:col>
                    <xdr:colOff>1402080</xdr:colOff>
                    <xdr:row>19</xdr:row>
                    <xdr:rowOff>60960</xdr:rowOff>
                  </to>
                </anchor>
              </controlPr>
            </control>
          </mc:Choice>
        </mc:AlternateContent>
        <mc:AlternateContent xmlns:mc="http://schemas.openxmlformats.org/markup-compatibility/2006">
          <mc:Choice Requires="x14">
            <control shapeId="35859" r:id="rId22" name="Check Box 19">
              <controlPr defaultSize="0" autoFill="0" autoLine="0" autoPict="0">
                <anchor moveWithCells="1">
                  <from>
                    <xdr:col>1</xdr:col>
                    <xdr:colOff>22860</xdr:colOff>
                    <xdr:row>19</xdr:row>
                    <xdr:rowOff>7620</xdr:rowOff>
                  </from>
                  <to>
                    <xdr:col>2</xdr:col>
                    <xdr:colOff>1150620</xdr:colOff>
                    <xdr:row>20</xdr:row>
                    <xdr:rowOff>53340</xdr:rowOff>
                  </to>
                </anchor>
              </controlPr>
            </control>
          </mc:Choice>
        </mc:AlternateContent>
        <mc:AlternateContent xmlns:mc="http://schemas.openxmlformats.org/markup-compatibility/2006">
          <mc:Choice Requires="x14">
            <control shapeId="35860" r:id="rId23" name="Check Box 20">
              <controlPr defaultSize="0" autoFill="0" autoLine="0" autoPict="0">
                <anchor moveWithCells="1">
                  <from>
                    <xdr:col>1</xdr:col>
                    <xdr:colOff>22860</xdr:colOff>
                    <xdr:row>20</xdr:row>
                    <xdr:rowOff>7620</xdr:rowOff>
                  </from>
                  <to>
                    <xdr:col>2</xdr:col>
                    <xdr:colOff>1150620</xdr:colOff>
                    <xdr:row>21</xdr:row>
                    <xdr:rowOff>53340</xdr:rowOff>
                  </to>
                </anchor>
              </controlPr>
            </control>
          </mc:Choice>
        </mc:AlternateContent>
        <mc:AlternateContent xmlns:mc="http://schemas.openxmlformats.org/markup-compatibility/2006">
          <mc:Choice Requires="x14">
            <control shapeId="35861" r:id="rId24" name="Check Box 21">
              <controlPr defaultSize="0" autoFill="0" autoLine="0" autoPict="0">
                <anchor moveWithCells="1">
                  <from>
                    <xdr:col>7</xdr:col>
                    <xdr:colOff>22860</xdr:colOff>
                    <xdr:row>11</xdr:row>
                    <xdr:rowOff>0</xdr:rowOff>
                  </from>
                  <to>
                    <xdr:col>7</xdr:col>
                    <xdr:colOff>929640</xdr:colOff>
                    <xdr:row>12</xdr:row>
                    <xdr:rowOff>22860</xdr:rowOff>
                  </to>
                </anchor>
              </controlPr>
            </control>
          </mc:Choice>
        </mc:AlternateContent>
        <mc:AlternateContent xmlns:mc="http://schemas.openxmlformats.org/markup-compatibility/2006">
          <mc:Choice Requires="x14">
            <control shapeId="35862" r:id="rId25" name="Check Box 22">
              <controlPr defaultSize="0" autoFill="0" autoLine="0" autoPict="0">
                <anchor moveWithCells="1">
                  <from>
                    <xdr:col>7</xdr:col>
                    <xdr:colOff>990600</xdr:colOff>
                    <xdr:row>11</xdr:row>
                    <xdr:rowOff>22860</xdr:rowOff>
                  </from>
                  <to>
                    <xdr:col>8</xdr:col>
                    <xdr:colOff>1066800</xdr:colOff>
                    <xdr:row>12</xdr:row>
                    <xdr:rowOff>15240</xdr:rowOff>
                  </to>
                </anchor>
              </controlPr>
            </control>
          </mc:Choice>
        </mc:AlternateContent>
        <mc:AlternateContent xmlns:mc="http://schemas.openxmlformats.org/markup-compatibility/2006">
          <mc:Choice Requires="x14">
            <control shapeId="35863" r:id="rId26" name="Check Box 23">
              <controlPr defaultSize="0" autoFill="0" autoLine="0" autoPict="0">
                <anchor moveWithCells="1">
                  <from>
                    <xdr:col>1</xdr:col>
                    <xdr:colOff>22860</xdr:colOff>
                    <xdr:row>48</xdr:row>
                    <xdr:rowOff>0</xdr:rowOff>
                  </from>
                  <to>
                    <xdr:col>2</xdr:col>
                    <xdr:colOff>137160</xdr:colOff>
                    <xdr:row>49</xdr:row>
                    <xdr:rowOff>30480</xdr:rowOff>
                  </to>
                </anchor>
              </controlPr>
            </control>
          </mc:Choice>
        </mc:AlternateContent>
        <mc:AlternateContent xmlns:mc="http://schemas.openxmlformats.org/markup-compatibility/2006">
          <mc:Choice Requires="x14">
            <control shapeId="35864" r:id="rId27" name="Check Box 24">
              <controlPr defaultSize="0" autoFill="0" autoLine="0" autoPict="0">
                <anchor moveWithCells="1">
                  <from>
                    <xdr:col>1</xdr:col>
                    <xdr:colOff>990600</xdr:colOff>
                    <xdr:row>48</xdr:row>
                    <xdr:rowOff>22860</xdr:rowOff>
                  </from>
                  <to>
                    <xdr:col>2</xdr:col>
                    <xdr:colOff>1143000</xdr:colOff>
                    <xdr:row>49</xdr:row>
                    <xdr:rowOff>15240</xdr:rowOff>
                  </to>
                </anchor>
              </controlPr>
            </control>
          </mc:Choice>
        </mc:AlternateContent>
        <mc:AlternateContent xmlns:mc="http://schemas.openxmlformats.org/markup-compatibility/2006">
          <mc:Choice Requires="x14">
            <control shapeId="35865" r:id="rId28" name="Check Box 25">
              <controlPr defaultSize="0" autoFill="0" autoLine="0" autoPict="0">
                <anchor moveWithCells="1">
                  <from>
                    <xdr:col>3</xdr:col>
                    <xdr:colOff>22860</xdr:colOff>
                    <xdr:row>48</xdr:row>
                    <xdr:rowOff>0</xdr:rowOff>
                  </from>
                  <to>
                    <xdr:col>3</xdr:col>
                    <xdr:colOff>929640</xdr:colOff>
                    <xdr:row>49</xdr:row>
                    <xdr:rowOff>30480</xdr:rowOff>
                  </to>
                </anchor>
              </controlPr>
            </control>
          </mc:Choice>
        </mc:AlternateContent>
        <mc:AlternateContent xmlns:mc="http://schemas.openxmlformats.org/markup-compatibility/2006">
          <mc:Choice Requires="x14">
            <control shapeId="35866" r:id="rId29" name="Check Box 26">
              <controlPr defaultSize="0" autoFill="0" autoLine="0" autoPict="0">
                <anchor moveWithCells="1">
                  <from>
                    <xdr:col>3</xdr:col>
                    <xdr:colOff>990600</xdr:colOff>
                    <xdr:row>48</xdr:row>
                    <xdr:rowOff>22860</xdr:rowOff>
                  </from>
                  <to>
                    <xdr:col>4</xdr:col>
                    <xdr:colOff>647700</xdr:colOff>
                    <xdr:row>49</xdr:row>
                    <xdr:rowOff>15240</xdr:rowOff>
                  </to>
                </anchor>
              </controlPr>
            </control>
          </mc:Choice>
        </mc:AlternateContent>
        <mc:AlternateContent xmlns:mc="http://schemas.openxmlformats.org/markup-compatibility/2006">
          <mc:Choice Requires="x14">
            <control shapeId="35867" r:id="rId30" name="Check Box 27">
              <controlPr defaultSize="0" autoFill="0" autoLine="0" autoPict="0">
                <anchor moveWithCells="1">
                  <from>
                    <xdr:col>5</xdr:col>
                    <xdr:colOff>22860</xdr:colOff>
                    <xdr:row>48</xdr:row>
                    <xdr:rowOff>0</xdr:rowOff>
                  </from>
                  <to>
                    <xdr:col>5</xdr:col>
                    <xdr:colOff>929640</xdr:colOff>
                    <xdr:row>49</xdr:row>
                    <xdr:rowOff>30480</xdr:rowOff>
                  </to>
                </anchor>
              </controlPr>
            </control>
          </mc:Choice>
        </mc:AlternateContent>
        <mc:AlternateContent xmlns:mc="http://schemas.openxmlformats.org/markup-compatibility/2006">
          <mc:Choice Requires="x14">
            <control shapeId="35868" r:id="rId31" name="Check Box 28">
              <controlPr defaultSize="0" autoFill="0" autoLine="0" autoPict="0">
                <anchor moveWithCells="1">
                  <from>
                    <xdr:col>5</xdr:col>
                    <xdr:colOff>990600</xdr:colOff>
                    <xdr:row>48</xdr:row>
                    <xdr:rowOff>22860</xdr:rowOff>
                  </from>
                  <to>
                    <xdr:col>6</xdr:col>
                    <xdr:colOff>1059180</xdr:colOff>
                    <xdr:row>49</xdr:row>
                    <xdr:rowOff>15240</xdr:rowOff>
                  </to>
                </anchor>
              </controlPr>
            </control>
          </mc:Choice>
        </mc:AlternateContent>
        <mc:AlternateContent xmlns:mc="http://schemas.openxmlformats.org/markup-compatibility/2006">
          <mc:Choice Requires="x14">
            <control shapeId="35869" r:id="rId32" name="Check Box 29">
              <controlPr defaultSize="0" autoFill="0" autoLine="0" autoPict="0">
                <anchor moveWithCells="1">
                  <from>
                    <xdr:col>1</xdr:col>
                    <xdr:colOff>22860</xdr:colOff>
                    <xdr:row>50</xdr:row>
                    <xdr:rowOff>7620</xdr:rowOff>
                  </from>
                  <to>
                    <xdr:col>2</xdr:col>
                    <xdr:colOff>1150620</xdr:colOff>
                    <xdr:row>51</xdr:row>
                    <xdr:rowOff>53340</xdr:rowOff>
                  </to>
                </anchor>
              </controlPr>
            </control>
          </mc:Choice>
        </mc:AlternateContent>
        <mc:AlternateContent xmlns:mc="http://schemas.openxmlformats.org/markup-compatibility/2006">
          <mc:Choice Requires="x14">
            <control shapeId="35870" r:id="rId33" name="Check Box 30">
              <controlPr defaultSize="0" autoFill="0" autoLine="0" autoPict="0">
                <anchor moveWithCells="1">
                  <from>
                    <xdr:col>5</xdr:col>
                    <xdr:colOff>22860</xdr:colOff>
                    <xdr:row>50</xdr:row>
                    <xdr:rowOff>0</xdr:rowOff>
                  </from>
                  <to>
                    <xdr:col>6</xdr:col>
                    <xdr:colOff>1402080</xdr:colOff>
                    <xdr:row>51</xdr:row>
                    <xdr:rowOff>53340</xdr:rowOff>
                  </to>
                </anchor>
              </controlPr>
            </control>
          </mc:Choice>
        </mc:AlternateContent>
        <mc:AlternateContent xmlns:mc="http://schemas.openxmlformats.org/markup-compatibility/2006">
          <mc:Choice Requires="x14">
            <control shapeId="35871" r:id="rId34" name="Check Box 31">
              <controlPr defaultSize="0" autoFill="0" autoLine="0" autoPict="0">
                <anchor moveWithCells="1">
                  <from>
                    <xdr:col>1</xdr:col>
                    <xdr:colOff>38100</xdr:colOff>
                    <xdr:row>50</xdr:row>
                    <xdr:rowOff>182880</xdr:rowOff>
                  </from>
                  <to>
                    <xdr:col>2</xdr:col>
                    <xdr:colOff>1165860</xdr:colOff>
                    <xdr:row>52</xdr:row>
                    <xdr:rowOff>83820</xdr:rowOff>
                  </to>
                </anchor>
              </controlPr>
            </control>
          </mc:Choice>
        </mc:AlternateContent>
        <mc:AlternateContent xmlns:mc="http://schemas.openxmlformats.org/markup-compatibility/2006">
          <mc:Choice Requires="x14">
            <control shapeId="35872" r:id="rId35" name="Check Box 32">
              <controlPr defaultSize="0" autoFill="0" autoLine="0" autoPict="0">
                <anchor moveWithCells="1">
                  <from>
                    <xdr:col>5</xdr:col>
                    <xdr:colOff>22860</xdr:colOff>
                    <xdr:row>51</xdr:row>
                    <xdr:rowOff>0</xdr:rowOff>
                  </from>
                  <to>
                    <xdr:col>6</xdr:col>
                    <xdr:colOff>1402080</xdr:colOff>
                    <xdr:row>52</xdr:row>
                    <xdr:rowOff>53340</xdr:rowOff>
                  </to>
                </anchor>
              </controlPr>
            </control>
          </mc:Choice>
        </mc:AlternateContent>
        <mc:AlternateContent xmlns:mc="http://schemas.openxmlformats.org/markup-compatibility/2006">
          <mc:Choice Requires="x14">
            <control shapeId="35873" r:id="rId36" name="Check Box 33">
              <controlPr defaultSize="0" autoFill="0" autoLine="0" autoPict="0">
                <anchor moveWithCells="1">
                  <from>
                    <xdr:col>1</xdr:col>
                    <xdr:colOff>22860</xdr:colOff>
                    <xdr:row>52</xdr:row>
                    <xdr:rowOff>7620</xdr:rowOff>
                  </from>
                  <to>
                    <xdr:col>2</xdr:col>
                    <xdr:colOff>1150620</xdr:colOff>
                    <xdr:row>53</xdr:row>
                    <xdr:rowOff>53340</xdr:rowOff>
                  </to>
                </anchor>
              </controlPr>
            </control>
          </mc:Choice>
        </mc:AlternateContent>
        <mc:AlternateContent xmlns:mc="http://schemas.openxmlformats.org/markup-compatibility/2006">
          <mc:Choice Requires="x14">
            <control shapeId="35874" r:id="rId37" name="Check Box 34">
              <controlPr defaultSize="0" autoFill="0" autoLine="0" autoPict="0">
                <anchor moveWithCells="1">
                  <from>
                    <xdr:col>5</xdr:col>
                    <xdr:colOff>22860</xdr:colOff>
                    <xdr:row>52</xdr:row>
                    <xdr:rowOff>0</xdr:rowOff>
                  </from>
                  <to>
                    <xdr:col>6</xdr:col>
                    <xdr:colOff>1402080</xdr:colOff>
                    <xdr:row>53</xdr:row>
                    <xdr:rowOff>53340</xdr:rowOff>
                  </to>
                </anchor>
              </controlPr>
            </control>
          </mc:Choice>
        </mc:AlternateContent>
        <mc:AlternateContent xmlns:mc="http://schemas.openxmlformats.org/markup-compatibility/2006">
          <mc:Choice Requires="x14">
            <control shapeId="35875" r:id="rId38" name="Check Box 35">
              <controlPr defaultSize="0" autoFill="0" autoLine="0" autoPict="0">
                <anchor moveWithCells="1">
                  <from>
                    <xdr:col>1</xdr:col>
                    <xdr:colOff>22860</xdr:colOff>
                    <xdr:row>53</xdr:row>
                    <xdr:rowOff>7620</xdr:rowOff>
                  </from>
                  <to>
                    <xdr:col>2</xdr:col>
                    <xdr:colOff>1150620</xdr:colOff>
                    <xdr:row>54</xdr:row>
                    <xdr:rowOff>53340</xdr:rowOff>
                  </to>
                </anchor>
              </controlPr>
            </control>
          </mc:Choice>
        </mc:AlternateContent>
        <mc:AlternateContent xmlns:mc="http://schemas.openxmlformats.org/markup-compatibility/2006">
          <mc:Choice Requires="x14">
            <control shapeId="35876" r:id="rId39" name="Check Box 36">
              <controlPr defaultSize="0" autoFill="0" autoLine="0" autoPict="0">
                <anchor moveWithCells="1">
                  <from>
                    <xdr:col>5</xdr:col>
                    <xdr:colOff>22860</xdr:colOff>
                    <xdr:row>53</xdr:row>
                    <xdr:rowOff>0</xdr:rowOff>
                  </from>
                  <to>
                    <xdr:col>6</xdr:col>
                    <xdr:colOff>1402080</xdr:colOff>
                    <xdr:row>54</xdr:row>
                    <xdr:rowOff>53340</xdr:rowOff>
                  </to>
                </anchor>
              </controlPr>
            </control>
          </mc:Choice>
        </mc:AlternateContent>
        <mc:AlternateContent xmlns:mc="http://schemas.openxmlformats.org/markup-compatibility/2006">
          <mc:Choice Requires="x14">
            <control shapeId="35877" r:id="rId40" name="Check Box 37">
              <controlPr defaultSize="0" autoFill="0" autoLine="0" autoPict="0">
                <anchor moveWithCells="1">
                  <from>
                    <xdr:col>1</xdr:col>
                    <xdr:colOff>22860</xdr:colOff>
                    <xdr:row>54</xdr:row>
                    <xdr:rowOff>7620</xdr:rowOff>
                  </from>
                  <to>
                    <xdr:col>2</xdr:col>
                    <xdr:colOff>1150620</xdr:colOff>
                    <xdr:row>55</xdr:row>
                    <xdr:rowOff>53340</xdr:rowOff>
                  </to>
                </anchor>
              </controlPr>
            </control>
          </mc:Choice>
        </mc:AlternateContent>
        <mc:AlternateContent xmlns:mc="http://schemas.openxmlformats.org/markup-compatibility/2006">
          <mc:Choice Requires="x14">
            <control shapeId="35878" r:id="rId41" name="Check Box 38">
              <controlPr defaultSize="0" autoFill="0" autoLine="0" autoPict="0">
                <anchor moveWithCells="1">
                  <from>
                    <xdr:col>5</xdr:col>
                    <xdr:colOff>22860</xdr:colOff>
                    <xdr:row>54</xdr:row>
                    <xdr:rowOff>0</xdr:rowOff>
                  </from>
                  <to>
                    <xdr:col>6</xdr:col>
                    <xdr:colOff>1402080</xdr:colOff>
                    <xdr:row>55</xdr:row>
                    <xdr:rowOff>53340</xdr:rowOff>
                  </to>
                </anchor>
              </controlPr>
            </control>
          </mc:Choice>
        </mc:AlternateContent>
        <mc:AlternateContent xmlns:mc="http://schemas.openxmlformats.org/markup-compatibility/2006">
          <mc:Choice Requires="x14">
            <control shapeId="35879" r:id="rId42" name="Check Box 39">
              <controlPr defaultSize="0" autoFill="0" autoLine="0" autoPict="0">
                <anchor moveWithCells="1">
                  <from>
                    <xdr:col>1</xdr:col>
                    <xdr:colOff>22860</xdr:colOff>
                    <xdr:row>55</xdr:row>
                    <xdr:rowOff>7620</xdr:rowOff>
                  </from>
                  <to>
                    <xdr:col>2</xdr:col>
                    <xdr:colOff>1150620</xdr:colOff>
                    <xdr:row>56</xdr:row>
                    <xdr:rowOff>53340</xdr:rowOff>
                  </to>
                </anchor>
              </controlPr>
            </control>
          </mc:Choice>
        </mc:AlternateContent>
        <mc:AlternateContent xmlns:mc="http://schemas.openxmlformats.org/markup-compatibility/2006">
          <mc:Choice Requires="x14">
            <control shapeId="35880" r:id="rId43" name="Check Box 40">
              <controlPr defaultSize="0" autoFill="0" autoLine="0" autoPict="0">
                <anchor moveWithCells="1">
                  <from>
                    <xdr:col>5</xdr:col>
                    <xdr:colOff>22860</xdr:colOff>
                    <xdr:row>55</xdr:row>
                    <xdr:rowOff>0</xdr:rowOff>
                  </from>
                  <to>
                    <xdr:col>6</xdr:col>
                    <xdr:colOff>1402080</xdr:colOff>
                    <xdr:row>56</xdr:row>
                    <xdr:rowOff>53340</xdr:rowOff>
                  </to>
                </anchor>
              </controlPr>
            </control>
          </mc:Choice>
        </mc:AlternateContent>
        <mc:AlternateContent xmlns:mc="http://schemas.openxmlformats.org/markup-compatibility/2006">
          <mc:Choice Requires="x14">
            <control shapeId="35881" r:id="rId44" name="Check Box 41">
              <controlPr defaultSize="0" autoFill="0" autoLine="0" autoPict="0">
                <anchor moveWithCells="1">
                  <from>
                    <xdr:col>1</xdr:col>
                    <xdr:colOff>22860</xdr:colOff>
                    <xdr:row>56</xdr:row>
                    <xdr:rowOff>7620</xdr:rowOff>
                  </from>
                  <to>
                    <xdr:col>2</xdr:col>
                    <xdr:colOff>1150620</xdr:colOff>
                    <xdr:row>57</xdr:row>
                    <xdr:rowOff>53340</xdr:rowOff>
                  </to>
                </anchor>
              </controlPr>
            </control>
          </mc:Choice>
        </mc:AlternateContent>
        <mc:AlternateContent xmlns:mc="http://schemas.openxmlformats.org/markup-compatibility/2006">
          <mc:Choice Requires="x14">
            <control shapeId="35882" r:id="rId45" name="Check Box 42">
              <controlPr defaultSize="0" autoFill="0" autoLine="0" autoPict="0">
                <anchor moveWithCells="1">
                  <from>
                    <xdr:col>1</xdr:col>
                    <xdr:colOff>22860</xdr:colOff>
                    <xdr:row>57</xdr:row>
                    <xdr:rowOff>7620</xdr:rowOff>
                  </from>
                  <to>
                    <xdr:col>2</xdr:col>
                    <xdr:colOff>1150620</xdr:colOff>
                    <xdr:row>58</xdr:row>
                    <xdr:rowOff>53340</xdr:rowOff>
                  </to>
                </anchor>
              </controlPr>
            </control>
          </mc:Choice>
        </mc:AlternateContent>
        <mc:AlternateContent xmlns:mc="http://schemas.openxmlformats.org/markup-compatibility/2006">
          <mc:Choice Requires="x14">
            <control shapeId="35883" r:id="rId46" name="Check Box 43">
              <controlPr defaultSize="0" autoFill="0" autoLine="0" autoPict="0">
                <anchor moveWithCells="1">
                  <from>
                    <xdr:col>7</xdr:col>
                    <xdr:colOff>22860</xdr:colOff>
                    <xdr:row>48</xdr:row>
                    <xdr:rowOff>0</xdr:rowOff>
                  </from>
                  <to>
                    <xdr:col>7</xdr:col>
                    <xdr:colOff>929640</xdr:colOff>
                    <xdr:row>49</xdr:row>
                    <xdr:rowOff>30480</xdr:rowOff>
                  </to>
                </anchor>
              </controlPr>
            </control>
          </mc:Choice>
        </mc:AlternateContent>
        <mc:AlternateContent xmlns:mc="http://schemas.openxmlformats.org/markup-compatibility/2006">
          <mc:Choice Requires="x14">
            <control shapeId="35884" r:id="rId47" name="Check Box 44">
              <controlPr defaultSize="0" autoFill="0" autoLine="0" autoPict="0">
                <anchor moveWithCells="1">
                  <from>
                    <xdr:col>7</xdr:col>
                    <xdr:colOff>990600</xdr:colOff>
                    <xdr:row>48</xdr:row>
                    <xdr:rowOff>22860</xdr:rowOff>
                  </from>
                  <to>
                    <xdr:col>8</xdr:col>
                    <xdr:colOff>1066800</xdr:colOff>
                    <xdr:row>49</xdr:row>
                    <xdr:rowOff>30480</xdr:rowOff>
                  </to>
                </anchor>
              </controlPr>
            </control>
          </mc:Choice>
        </mc:AlternateContent>
        <mc:AlternateContent xmlns:mc="http://schemas.openxmlformats.org/markup-compatibility/2006">
          <mc:Choice Requires="x14">
            <control shapeId="35885" r:id="rId48" name="Check Box 45">
              <controlPr defaultSize="0" autoFill="0" autoLine="0" autoPict="0">
                <anchor moveWithCells="1">
                  <from>
                    <xdr:col>1</xdr:col>
                    <xdr:colOff>22860</xdr:colOff>
                    <xdr:row>85</xdr:row>
                    <xdr:rowOff>0</xdr:rowOff>
                  </from>
                  <to>
                    <xdr:col>2</xdr:col>
                    <xdr:colOff>137160</xdr:colOff>
                    <xdr:row>86</xdr:row>
                    <xdr:rowOff>30480</xdr:rowOff>
                  </to>
                </anchor>
              </controlPr>
            </control>
          </mc:Choice>
        </mc:AlternateContent>
        <mc:AlternateContent xmlns:mc="http://schemas.openxmlformats.org/markup-compatibility/2006">
          <mc:Choice Requires="x14">
            <control shapeId="35886" r:id="rId49" name="Check Box 46">
              <controlPr defaultSize="0" autoFill="0" autoLine="0" autoPict="0">
                <anchor moveWithCells="1">
                  <from>
                    <xdr:col>1</xdr:col>
                    <xdr:colOff>990600</xdr:colOff>
                    <xdr:row>85</xdr:row>
                    <xdr:rowOff>22860</xdr:rowOff>
                  </from>
                  <to>
                    <xdr:col>2</xdr:col>
                    <xdr:colOff>1143000</xdr:colOff>
                    <xdr:row>86</xdr:row>
                    <xdr:rowOff>15240</xdr:rowOff>
                  </to>
                </anchor>
              </controlPr>
            </control>
          </mc:Choice>
        </mc:AlternateContent>
        <mc:AlternateContent xmlns:mc="http://schemas.openxmlformats.org/markup-compatibility/2006">
          <mc:Choice Requires="x14">
            <control shapeId="35887" r:id="rId50" name="Check Box 47">
              <controlPr defaultSize="0" autoFill="0" autoLine="0" autoPict="0">
                <anchor moveWithCells="1">
                  <from>
                    <xdr:col>3</xdr:col>
                    <xdr:colOff>22860</xdr:colOff>
                    <xdr:row>85</xdr:row>
                    <xdr:rowOff>0</xdr:rowOff>
                  </from>
                  <to>
                    <xdr:col>3</xdr:col>
                    <xdr:colOff>929640</xdr:colOff>
                    <xdr:row>86</xdr:row>
                    <xdr:rowOff>30480</xdr:rowOff>
                  </to>
                </anchor>
              </controlPr>
            </control>
          </mc:Choice>
        </mc:AlternateContent>
        <mc:AlternateContent xmlns:mc="http://schemas.openxmlformats.org/markup-compatibility/2006">
          <mc:Choice Requires="x14">
            <control shapeId="35888" r:id="rId51" name="Check Box 48">
              <controlPr defaultSize="0" autoFill="0" autoLine="0" autoPict="0">
                <anchor moveWithCells="1">
                  <from>
                    <xdr:col>3</xdr:col>
                    <xdr:colOff>990600</xdr:colOff>
                    <xdr:row>85</xdr:row>
                    <xdr:rowOff>22860</xdr:rowOff>
                  </from>
                  <to>
                    <xdr:col>4</xdr:col>
                    <xdr:colOff>647700</xdr:colOff>
                    <xdr:row>86</xdr:row>
                    <xdr:rowOff>15240</xdr:rowOff>
                  </to>
                </anchor>
              </controlPr>
            </control>
          </mc:Choice>
        </mc:AlternateContent>
        <mc:AlternateContent xmlns:mc="http://schemas.openxmlformats.org/markup-compatibility/2006">
          <mc:Choice Requires="x14">
            <control shapeId="35889" r:id="rId52" name="Check Box 49">
              <controlPr defaultSize="0" autoFill="0" autoLine="0" autoPict="0">
                <anchor moveWithCells="1">
                  <from>
                    <xdr:col>5</xdr:col>
                    <xdr:colOff>22860</xdr:colOff>
                    <xdr:row>85</xdr:row>
                    <xdr:rowOff>0</xdr:rowOff>
                  </from>
                  <to>
                    <xdr:col>5</xdr:col>
                    <xdr:colOff>929640</xdr:colOff>
                    <xdr:row>86</xdr:row>
                    <xdr:rowOff>30480</xdr:rowOff>
                  </to>
                </anchor>
              </controlPr>
            </control>
          </mc:Choice>
        </mc:AlternateContent>
        <mc:AlternateContent xmlns:mc="http://schemas.openxmlformats.org/markup-compatibility/2006">
          <mc:Choice Requires="x14">
            <control shapeId="35890" r:id="rId53" name="Check Box 50">
              <controlPr defaultSize="0" autoFill="0" autoLine="0" autoPict="0">
                <anchor moveWithCells="1">
                  <from>
                    <xdr:col>5</xdr:col>
                    <xdr:colOff>990600</xdr:colOff>
                    <xdr:row>85</xdr:row>
                    <xdr:rowOff>22860</xdr:rowOff>
                  </from>
                  <to>
                    <xdr:col>6</xdr:col>
                    <xdr:colOff>1059180</xdr:colOff>
                    <xdr:row>86</xdr:row>
                    <xdr:rowOff>15240</xdr:rowOff>
                  </to>
                </anchor>
              </controlPr>
            </control>
          </mc:Choice>
        </mc:AlternateContent>
        <mc:AlternateContent xmlns:mc="http://schemas.openxmlformats.org/markup-compatibility/2006">
          <mc:Choice Requires="x14">
            <control shapeId="35891" r:id="rId54" name="Check Box 51">
              <controlPr defaultSize="0" autoFill="0" autoLine="0" autoPict="0">
                <anchor moveWithCells="1">
                  <from>
                    <xdr:col>1</xdr:col>
                    <xdr:colOff>22860</xdr:colOff>
                    <xdr:row>87</xdr:row>
                    <xdr:rowOff>7620</xdr:rowOff>
                  </from>
                  <to>
                    <xdr:col>2</xdr:col>
                    <xdr:colOff>1150620</xdr:colOff>
                    <xdr:row>88</xdr:row>
                    <xdr:rowOff>53340</xdr:rowOff>
                  </to>
                </anchor>
              </controlPr>
            </control>
          </mc:Choice>
        </mc:AlternateContent>
        <mc:AlternateContent xmlns:mc="http://schemas.openxmlformats.org/markup-compatibility/2006">
          <mc:Choice Requires="x14">
            <control shapeId="35892" r:id="rId55" name="Check Box 52">
              <controlPr defaultSize="0" autoFill="0" autoLine="0" autoPict="0">
                <anchor moveWithCells="1">
                  <from>
                    <xdr:col>5</xdr:col>
                    <xdr:colOff>22860</xdr:colOff>
                    <xdr:row>87</xdr:row>
                    <xdr:rowOff>0</xdr:rowOff>
                  </from>
                  <to>
                    <xdr:col>6</xdr:col>
                    <xdr:colOff>1402080</xdr:colOff>
                    <xdr:row>88</xdr:row>
                    <xdr:rowOff>53340</xdr:rowOff>
                  </to>
                </anchor>
              </controlPr>
            </control>
          </mc:Choice>
        </mc:AlternateContent>
        <mc:AlternateContent xmlns:mc="http://schemas.openxmlformats.org/markup-compatibility/2006">
          <mc:Choice Requires="x14">
            <control shapeId="35893" r:id="rId56" name="Check Box 53">
              <controlPr defaultSize="0" autoFill="0" autoLine="0" autoPict="0">
                <anchor moveWithCells="1">
                  <from>
                    <xdr:col>1</xdr:col>
                    <xdr:colOff>38100</xdr:colOff>
                    <xdr:row>87</xdr:row>
                    <xdr:rowOff>182880</xdr:rowOff>
                  </from>
                  <to>
                    <xdr:col>2</xdr:col>
                    <xdr:colOff>1165860</xdr:colOff>
                    <xdr:row>89</xdr:row>
                    <xdr:rowOff>83820</xdr:rowOff>
                  </to>
                </anchor>
              </controlPr>
            </control>
          </mc:Choice>
        </mc:AlternateContent>
        <mc:AlternateContent xmlns:mc="http://schemas.openxmlformats.org/markup-compatibility/2006">
          <mc:Choice Requires="x14">
            <control shapeId="35894" r:id="rId57" name="Check Box 54">
              <controlPr defaultSize="0" autoFill="0" autoLine="0" autoPict="0">
                <anchor moveWithCells="1">
                  <from>
                    <xdr:col>5</xdr:col>
                    <xdr:colOff>22860</xdr:colOff>
                    <xdr:row>88</xdr:row>
                    <xdr:rowOff>0</xdr:rowOff>
                  </from>
                  <to>
                    <xdr:col>6</xdr:col>
                    <xdr:colOff>1402080</xdr:colOff>
                    <xdr:row>89</xdr:row>
                    <xdr:rowOff>53340</xdr:rowOff>
                  </to>
                </anchor>
              </controlPr>
            </control>
          </mc:Choice>
        </mc:AlternateContent>
        <mc:AlternateContent xmlns:mc="http://schemas.openxmlformats.org/markup-compatibility/2006">
          <mc:Choice Requires="x14">
            <control shapeId="35895" r:id="rId58" name="Check Box 55">
              <controlPr defaultSize="0" autoFill="0" autoLine="0" autoPict="0">
                <anchor moveWithCells="1">
                  <from>
                    <xdr:col>1</xdr:col>
                    <xdr:colOff>22860</xdr:colOff>
                    <xdr:row>89</xdr:row>
                    <xdr:rowOff>7620</xdr:rowOff>
                  </from>
                  <to>
                    <xdr:col>2</xdr:col>
                    <xdr:colOff>1150620</xdr:colOff>
                    <xdr:row>90</xdr:row>
                    <xdr:rowOff>53340</xdr:rowOff>
                  </to>
                </anchor>
              </controlPr>
            </control>
          </mc:Choice>
        </mc:AlternateContent>
        <mc:AlternateContent xmlns:mc="http://schemas.openxmlformats.org/markup-compatibility/2006">
          <mc:Choice Requires="x14">
            <control shapeId="35896" r:id="rId59" name="Check Box 56">
              <controlPr defaultSize="0" autoFill="0" autoLine="0" autoPict="0">
                <anchor moveWithCells="1">
                  <from>
                    <xdr:col>5</xdr:col>
                    <xdr:colOff>22860</xdr:colOff>
                    <xdr:row>89</xdr:row>
                    <xdr:rowOff>0</xdr:rowOff>
                  </from>
                  <to>
                    <xdr:col>6</xdr:col>
                    <xdr:colOff>1402080</xdr:colOff>
                    <xdr:row>90</xdr:row>
                    <xdr:rowOff>53340</xdr:rowOff>
                  </to>
                </anchor>
              </controlPr>
            </control>
          </mc:Choice>
        </mc:AlternateContent>
        <mc:AlternateContent xmlns:mc="http://schemas.openxmlformats.org/markup-compatibility/2006">
          <mc:Choice Requires="x14">
            <control shapeId="35897" r:id="rId60" name="Check Box 57">
              <controlPr defaultSize="0" autoFill="0" autoLine="0" autoPict="0">
                <anchor moveWithCells="1">
                  <from>
                    <xdr:col>1</xdr:col>
                    <xdr:colOff>22860</xdr:colOff>
                    <xdr:row>90</xdr:row>
                    <xdr:rowOff>7620</xdr:rowOff>
                  </from>
                  <to>
                    <xdr:col>2</xdr:col>
                    <xdr:colOff>1150620</xdr:colOff>
                    <xdr:row>91</xdr:row>
                    <xdr:rowOff>53340</xdr:rowOff>
                  </to>
                </anchor>
              </controlPr>
            </control>
          </mc:Choice>
        </mc:AlternateContent>
        <mc:AlternateContent xmlns:mc="http://schemas.openxmlformats.org/markup-compatibility/2006">
          <mc:Choice Requires="x14">
            <control shapeId="35898" r:id="rId61" name="Check Box 58">
              <controlPr defaultSize="0" autoFill="0" autoLine="0" autoPict="0">
                <anchor moveWithCells="1">
                  <from>
                    <xdr:col>5</xdr:col>
                    <xdr:colOff>22860</xdr:colOff>
                    <xdr:row>90</xdr:row>
                    <xdr:rowOff>0</xdr:rowOff>
                  </from>
                  <to>
                    <xdr:col>6</xdr:col>
                    <xdr:colOff>1402080</xdr:colOff>
                    <xdr:row>91</xdr:row>
                    <xdr:rowOff>53340</xdr:rowOff>
                  </to>
                </anchor>
              </controlPr>
            </control>
          </mc:Choice>
        </mc:AlternateContent>
        <mc:AlternateContent xmlns:mc="http://schemas.openxmlformats.org/markup-compatibility/2006">
          <mc:Choice Requires="x14">
            <control shapeId="35899" r:id="rId62" name="Check Box 59">
              <controlPr defaultSize="0" autoFill="0" autoLine="0" autoPict="0">
                <anchor moveWithCells="1">
                  <from>
                    <xdr:col>1</xdr:col>
                    <xdr:colOff>22860</xdr:colOff>
                    <xdr:row>91</xdr:row>
                    <xdr:rowOff>7620</xdr:rowOff>
                  </from>
                  <to>
                    <xdr:col>2</xdr:col>
                    <xdr:colOff>1150620</xdr:colOff>
                    <xdr:row>92</xdr:row>
                    <xdr:rowOff>53340</xdr:rowOff>
                  </to>
                </anchor>
              </controlPr>
            </control>
          </mc:Choice>
        </mc:AlternateContent>
        <mc:AlternateContent xmlns:mc="http://schemas.openxmlformats.org/markup-compatibility/2006">
          <mc:Choice Requires="x14">
            <control shapeId="35900" r:id="rId63" name="Check Box 60">
              <controlPr defaultSize="0" autoFill="0" autoLine="0" autoPict="0">
                <anchor moveWithCells="1">
                  <from>
                    <xdr:col>5</xdr:col>
                    <xdr:colOff>22860</xdr:colOff>
                    <xdr:row>91</xdr:row>
                    <xdr:rowOff>0</xdr:rowOff>
                  </from>
                  <to>
                    <xdr:col>6</xdr:col>
                    <xdr:colOff>1402080</xdr:colOff>
                    <xdr:row>92</xdr:row>
                    <xdr:rowOff>53340</xdr:rowOff>
                  </to>
                </anchor>
              </controlPr>
            </control>
          </mc:Choice>
        </mc:AlternateContent>
        <mc:AlternateContent xmlns:mc="http://schemas.openxmlformats.org/markup-compatibility/2006">
          <mc:Choice Requires="x14">
            <control shapeId="35901" r:id="rId64" name="Check Box 61">
              <controlPr defaultSize="0" autoFill="0" autoLine="0" autoPict="0">
                <anchor moveWithCells="1">
                  <from>
                    <xdr:col>1</xdr:col>
                    <xdr:colOff>22860</xdr:colOff>
                    <xdr:row>92</xdr:row>
                    <xdr:rowOff>7620</xdr:rowOff>
                  </from>
                  <to>
                    <xdr:col>2</xdr:col>
                    <xdr:colOff>1150620</xdr:colOff>
                    <xdr:row>93</xdr:row>
                    <xdr:rowOff>53340</xdr:rowOff>
                  </to>
                </anchor>
              </controlPr>
            </control>
          </mc:Choice>
        </mc:AlternateContent>
        <mc:AlternateContent xmlns:mc="http://schemas.openxmlformats.org/markup-compatibility/2006">
          <mc:Choice Requires="x14">
            <control shapeId="35902" r:id="rId65" name="Check Box 62">
              <controlPr defaultSize="0" autoFill="0" autoLine="0" autoPict="0">
                <anchor moveWithCells="1">
                  <from>
                    <xdr:col>5</xdr:col>
                    <xdr:colOff>22860</xdr:colOff>
                    <xdr:row>92</xdr:row>
                    <xdr:rowOff>0</xdr:rowOff>
                  </from>
                  <to>
                    <xdr:col>6</xdr:col>
                    <xdr:colOff>1402080</xdr:colOff>
                    <xdr:row>93</xdr:row>
                    <xdr:rowOff>53340</xdr:rowOff>
                  </to>
                </anchor>
              </controlPr>
            </control>
          </mc:Choice>
        </mc:AlternateContent>
        <mc:AlternateContent xmlns:mc="http://schemas.openxmlformats.org/markup-compatibility/2006">
          <mc:Choice Requires="x14">
            <control shapeId="35903" r:id="rId66" name="Check Box 63">
              <controlPr defaultSize="0" autoFill="0" autoLine="0" autoPict="0">
                <anchor moveWithCells="1">
                  <from>
                    <xdr:col>1</xdr:col>
                    <xdr:colOff>22860</xdr:colOff>
                    <xdr:row>93</xdr:row>
                    <xdr:rowOff>7620</xdr:rowOff>
                  </from>
                  <to>
                    <xdr:col>2</xdr:col>
                    <xdr:colOff>1150620</xdr:colOff>
                    <xdr:row>94</xdr:row>
                    <xdr:rowOff>53340</xdr:rowOff>
                  </to>
                </anchor>
              </controlPr>
            </control>
          </mc:Choice>
        </mc:AlternateContent>
        <mc:AlternateContent xmlns:mc="http://schemas.openxmlformats.org/markup-compatibility/2006">
          <mc:Choice Requires="x14">
            <control shapeId="35904" r:id="rId67" name="Check Box 64">
              <controlPr defaultSize="0" autoFill="0" autoLine="0" autoPict="0">
                <anchor moveWithCells="1">
                  <from>
                    <xdr:col>1</xdr:col>
                    <xdr:colOff>22860</xdr:colOff>
                    <xdr:row>94</xdr:row>
                    <xdr:rowOff>7620</xdr:rowOff>
                  </from>
                  <to>
                    <xdr:col>2</xdr:col>
                    <xdr:colOff>1150620</xdr:colOff>
                    <xdr:row>95</xdr:row>
                    <xdr:rowOff>53340</xdr:rowOff>
                  </to>
                </anchor>
              </controlPr>
            </control>
          </mc:Choice>
        </mc:AlternateContent>
        <mc:AlternateContent xmlns:mc="http://schemas.openxmlformats.org/markup-compatibility/2006">
          <mc:Choice Requires="x14">
            <control shapeId="35905" r:id="rId68" name="Check Box 65">
              <controlPr defaultSize="0" autoFill="0" autoLine="0" autoPict="0">
                <anchor moveWithCells="1">
                  <from>
                    <xdr:col>7</xdr:col>
                    <xdr:colOff>22860</xdr:colOff>
                    <xdr:row>85</xdr:row>
                    <xdr:rowOff>0</xdr:rowOff>
                  </from>
                  <to>
                    <xdr:col>7</xdr:col>
                    <xdr:colOff>929640</xdr:colOff>
                    <xdr:row>86</xdr:row>
                    <xdr:rowOff>30480</xdr:rowOff>
                  </to>
                </anchor>
              </controlPr>
            </control>
          </mc:Choice>
        </mc:AlternateContent>
        <mc:AlternateContent xmlns:mc="http://schemas.openxmlformats.org/markup-compatibility/2006">
          <mc:Choice Requires="x14">
            <control shapeId="35906" r:id="rId69" name="Check Box 66">
              <controlPr defaultSize="0" autoFill="0" autoLine="0" autoPict="0">
                <anchor moveWithCells="1">
                  <from>
                    <xdr:col>7</xdr:col>
                    <xdr:colOff>990600</xdr:colOff>
                    <xdr:row>85</xdr:row>
                    <xdr:rowOff>22860</xdr:rowOff>
                  </from>
                  <to>
                    <xdr:col>8</xdr:col>
                    <xdr:colOff>1066800</xdr:colOff>
                    <xdr:row>86</xdr:row>
                    <xdr:rowOff>30480</xdr:rowOff>
                  </to>
                </anchor>
              </controlPr>
            </control>
          </mc:Choice>
        </mc:AlternateContent>
        <mc:AlternateContent xmlns:mc="http://schemas.openxmlformats.org/markup-compatibility/2006">
          <mc:Choice Requires="x14">
            <control shapeId="35907" r:id="rId70" name="Check Box 67">
              <controlPr defaultSize="0" autoFill="0" autoLine="0" autoPict="0">
                <anchor moveWithCells="1">
                  <from>
                    <xdr:col>1</xdr:col>
                    <xdr:colOff>22860</xdr:colOff>
                    <xdr:row>122</xdr:row>
                    <xdr:rowOff>0</xdr:rowOff>
                  </from>
                  <to>
                    <xdr:col>2</xdr:col>
                    <xdr:colOff>137160</xdr:colOff>
                    <xdr:row>123</xdr:row>
                    <xdr:rowOff>30480</xdr:rowOff>
                  </to>
                </anchor>
              </controlPr>
            </control>
          </mc:Choice>
        </mc:AlternateContent>
        <mc:AlternateContent xmlns:mc="http://schemas.openxmlformats.org/markup-compatibility/2006">
          <mc:Choice Requires="x14">
            <control shapeId="35908" r:id="rId71" name="Check Box 68">
              <controlPr defaultSize="0" autoFill="0" autoLine="0" autoPict="0">
                <anchor moveWithCells="1">
                  <from>
                    <xdr:col>1</xdr:col>
                    <xdr:colOff>990600</xdr:colOff>
                    <xdr:row>122</xdr:row>
                    <xdr:rowOff>22860</xdr:rowOff>
                  </from>
                  <to>
                    <xdr:col>2</xdr:col>
                    <xdr:colOff>1143000</xdr:colOff>
                    <xdr:row>123</xdr:row>
                    <xdr:rowOff>15240</xdr:rowOff>
                  </to>
                </anchor>
              </controlPr>
            </control>
          </mc:Choice>
        </mc:AlternateContent>
        <mc:AlternateContent xmlns:mc="http://schemas.openxmlformats.org/markup-compatibility/2006">
          <mc:Choice Requires="x14">
            <control shapeId="35909" r:id="rId72" name="Check Box 69">
              <controlPr defaultSize="0" autoFill="0" autoLine="0" autoPict="0">
                <anchor moveWithCells="1">
                  <from>
                    <xdr:col>3</xdr:col>
                    <xdr:colOff>22860</xdr:colOff>
                    <xdr:row>122</xdr:row>
                    <xdr:rowOff>0</xdr:rowOff>
                  </from>
                  <to>
                    <xdr:col>3</xdr:col>
                    <xdr:colOff>929640</xdr:colOff>
                    <xdr:row>123</xdr:row>
                    <xdr:rowOff>30480</xdr:rowOff>
                  </to>
                </anchor>
              </controlPr>
            </control>
          </mc:Choice>
        </mc:AlternateContent>
        <mc:AlternateContent xmlns:mc="http://schemas.openxmlformats.org/markup-compatibility/2006">
          <mc:Choice Requires="x14">
            <control shapeId="35910" r:id="rId73" name="Check Box 70">
              <controlPr defaultSize="0" autoFill="0" autoLine="0" autoPict="0">
                <anchor moveWithCells="1">
                  <from>
                    <xdr:col>3</xdr:col>
                    <xdr:colOff>990600</xdr:colOff>
                    <xdr:row>122</xdr:row>
                    <xdr:rowOff>22860</xdr:rowOff>
                  </from>
                  <to>
                    <xdr:col>4</xdr:col>
                    <xdr:colOff>647700</xdr:colOff>
                    <xdr:row>123</xdr:row>
                    <xdr:rowOff>15240</xdr:rowOff>
                  </to>
                </anchor>
              </controlPr>
            </control>
          </mc:Choice>
        </mc:AlternateContent>
        <mc:AlternateContent xmlns:mc="http://schemas.openxmlformats.org/markup-compatibility/2006">
          <mc:Choice Requires="x14">
            <control shapeId="35911" r:id="rId74" name="Check Box 71">
              <controlPr defaultSize="0" autoFill="0" autoLine="0" autoPict="0">
                <anchor moveWithCells="1">
                  <from>
                    <xdr:col>5</xdr:col>
                    <xdr:colOff>22860</xdr:colOff>
                    <xdr:row>122</xdr:row>
                    <xdr:rowOff>0</xdr:rowOff>
                  </from>
                  <to>
                    <xdr:col>5</xdr:col>
                    <xdr:colOff>929640</xdr:colOff>
                    <xdr:row>123</xdr:row>
                    <xdr:rowOff>30480</xdr:rowOff>
                  </to>
                </anchor>
              </controlPr>
            </control>
          </mc:Choice>
        </mc:AlternateContent>
        <mc:AlternateContent xmlns:mc="http://schemas.openxmlformats.org/markup-compatibility/2006">
          <mc:Choice Requires="x14">
            <control shapeId="35912" r:id="rId75" name="Check Box 72">
              <controlPr defaultSize="0" autoFill="0" autoLine="0" autoPict="0">
                <anchor moveWithCells="1">
                  <from>
                    <xdr:col>5</xdr:col>
                    <xdr:colOff>990600</xdr:colOff>
                    <xdr:row>122</xdr:row>
                    <xdr:rowOff>22860</xdr:rowOff>
                  </from>
                  <to>
                    <xdr:col>6</xdr:col>
                    <xdr:colOff>1059180</xdr:colOff>
                    <xdr:row>123</xdr:row>
                    <xdr:rowOff>15240</xdr:rowOff>
                  </to>
                </anchor>
              </controlPr>
            </control>
          </mc:Choice>
        </mc:AlternateContent>
        <mc:AlternateContent xmlns:mc="http://schemas.openxmlformats.org/markup-compatibility/2006">
          <mc:Choice Requires="x14">
            <control shapeId="35913" r:id="rId76" name="Check Box 73">
              <controlPr defaultSize="0" autoFill="0" autoLine="0" autoPict="0">
                <anchor moveWithCells="1">
                  <from>
                    <xdr:col>1</xdr:col>
                    <xdr:colOff>22860</xdr:colOff>
                    <xdr:row>124</xdr:row>
                    <xdr:rowOff>7620</xdr:rowOff>
                  </from>
                  <to>
                    <xdr:col>2</xdr:col>
                    <xdr:colOff>1150620</xdr:colOff>
                    <xdr:row>125</xdr:row>
                    <xdr:rowOff>53340</xdr:rowOff>
                  </to>
                </anchor>
              </controlPr>
            </control>
          </mc:Choice>
        </mc:AlternateContent>
        <mc:AlternateContent xmlns:mc="http://schemas.openxmlformats.org/markup-compatibility/2006">
          <mc:Choice Requires="x14">
            <control shapeId="35914" r:id="rId77" name="Check Box 74">
              <controlPr defaultSize="0" autoFill="0" autoLine="0" autoPict="0">
                <anchor moveWithCells="1">
                  <from>
                    <xdr:col>5</xdr:col>
                    <xdr:colOff>22860</xdr:colOff>
                    <xdr:row>124</xdr:row>
                    <xdr:rowOff>0</xdr:rowOff>
                  </from>
                  <to>
                    <xdr:col>6</xdr:col>
                    <xdr:colOff>1402080</xdr:colOff>
                    <xdr:row>125</xdr:row>
                    <xdr:rowOff>53340</xdr:rowOff>
                  </to>
                </anchor>
              </controlPr>
            </control>
          </mc:Choice>
        </mc:AlternateContent>
        <mc:AlternateContent xmlns:mc="http://schemas.openxmlformats.org/markup-compatibility/2006">
          <mc:Choice Requires="x14">
            <control shapeId="35915" r:id="rId78" name="Check Box 75">
              <controlPr defaultSize="0" autoFill="0" autoLine="0" autoPict="0">
                <anchor moveWithCells="1">
                  <from>
                    <xdr:col>1</xdr:col>
                    <xdr:colOff>38100</xdr:colOff>
                    <xdr:row>124</xdr:row>
                    <xdr:rowOff>182880</xdr:rowOff>
                  </from>
                  <to>
                    <xdr:col>2</xdr:col>
                    <xdr:colOff>1165860</xdr:colOff>
                    <xdr:row>126</xdr:row>
                    <xdr:rowOff>83820</xdr:rowOff>
                  </to>
                </anchor>
              </controlPr>
            </control>
          </mc:Choice>
        </mc:AlternateContent>
        <mc:AlternateContent xmlns:mc="http://schemas.openxmlformats.org/markup-compatibility/2006">
          <mc:Choice Requires="x14">
            <control shapeId="35916" r:id="rId79" name="Check Box 76">
              <controlPr defaultSize="0" autoFill="0" autoLine="0" autoPict="0">
                <anchor moveWithCells="1">
                  <from>
                    <xdr:col>5</xdr:col>
                    <xdr:colOff>22860</xdr:colOff>
                    <xdr:row>125</xdr:row>
                    <xdr:rowOff>0</xdr:rowOff>
                  </from>
                  <to>
                    <xdr:col>6</xdr:col>
                    <xdr:colOff>1402080</xdr:colOff>
                    <xdr:row>126</xdr:row>
                    <xdr:rowOff>53340</xdr:rowOff>
                  </to>
                </anchor>
              </controlPr>
            </control>
          </mc:Choice>
        </mc:AlternateContent>
        <mc:AlternateContent xmlns:mc="http://schemas.openxmlformats.org/markup-compatibility/2006">
          <mc:Choice Requires="x14">
            <control shapeId="35917" r:id="rId80" name="Check Box 77">
              <controlPr defaultSize="0" autoFill="0" autoLine="0" autoPict="0">
                <anchor moveWithCells="1">
                  <from>
                    <xdr:col>1</xdr:col>
                    <xdr:colOff>22860</xdr:colOff>
                    <xdr:row>126</xdr:row>
                    <xdr:rowOff>7620</xdr:rowOff>
                  </from>
                  <to>
                    <xdr:col>2</xdr:col>
                    <xdr:colOff>1150620</xdr:colOff>
                    <xdr:row>127</xdr:row>
                    <xdr:rowOff>53340</xdr:rowOff>
                  </to>
                </anchor>
              </controlPr>
            </control>
          </mc:Choice>
        </mc:AlternateContent>
        <mc:AlternateContent xmlns:mc="http://schemas.openxmlformats.org/markup-compatibility/2006">
          <mc:Choice Requires="x14">
            <control shapeId="35918" r:id="rId81" name="Check Box 78">
              <controlPr defaultSize="0" autoFill="0" autoLine="0" autoPict="0">
                <anchor moveWithCells="1">
                  <from>
                    <xdr:col>5</xdr:col>
                    <xdr:colOff>22860</xdr:colOff>
                    <xdr:row>126</xdr:row>
                    <xdr:rowOff>0</xdr:rowOff>
                  </from>
                  <to>
                    <xdr:col>6</xdr:col>
                    <xdr:colOff>1402080</xdr:colOff>
                    <xdr:row>127</xdr:row>
                    <xdr:rowOff>53340</xdr:rowOff>
                  </to>
                </anchor>
              </controlPr>
            </control>
          </mc:Choice>
        </mc:AlternateContent>
        <mc:AlternateContent xmlns:mc="http://schemas.openxmlformats.org/markup-compatibility/2006">
          <mc:Choice Requires="x14">
            <control shapeId="35919" r:id="rId82" name="Check Box 79">
              <controlPr defaultSize="0" autoFill="0" autoLine="0" autoPict="0">
                <anchor moveWithCells="1">
                  <from>
                    <xdr:col>1</xdr:col>
                    <xdr:colOff>22860</xdr:colOff>
                    <xdr:row>127</xdr:row>
                    <xdr:rowOff>7620</xdr:rowOff>
                  </from>
                  <to>
                    <xdr:col>2</xdr:col>
                    <xdr:colOff>1150620</xdr:colOff>
                    <xdr:row>128</xdr:row>
                    <xdr:rowOff>53340</xdr:rowOff>
                  </to>
                </anchor>
              </controlPr>
            </control>
          </mc:Choice>
        </mc:AlternateContent>
        <mc:AlternateContent xmlns:mc="http://schemas.openxmlformats.org/markup-compatibility/2006">
          <mc:Choice Requires="x14">
            <control shapeId="35920" r:id="rId83" name="Check Box 80">
              <controlPr defaultSize="0" autoFill="0" autoLine="0" autoPict="0">
                <anchor moveWithCells="1">
                  <from>
                    <xdr:col>5</xdr:col>
                    <xdr:colOff>22860</xdr:colOff>
                    <xdr:row>127</xdr:row>
                    <xdr:rowOff>0</xdr:rowOff>
                  </from>
                  <to>
                    <xdr:col>6</xdr:col>
                    <xdr:colOff>1402080</xdr:colOff>
                    <xdr:row>128</xdr:row>
                    <xdr:rowOff>53340</xdr:rowOff>
                  </to>
                </anchor>
              </controlPr>
            </control>
          </mc:Choice>
        </mc:AlternateContent>
        <mc:AlternateContent xmlns:mc="http://schemas.openxmlformats.org/markup-compatibility/2006">
          <mc:Choice Requires="x14">
            <control shapeId="35921" r:id="rId84" name="Check Box 81">
              <controlPr defaultSize="0" autoFill="0" autoLine="0" autoPict="0">
                <anchor moveWithCells="1">
                  <from>
                    <xdr:col>1</xdr:col>
                    <xdr:colOff>22860</xdr:colOff>
                    <xdr:row>128</xdr:row>
                    <xdr:rowOff>7620</xdr:rowOff>
                  </from>
                  <to>
                    <xdr:col>2</xdr:col>
                    <xdr:colOff>1150620</xdr:colOff>
                    <xdr:row>129</xdr:row>
                    <xdr:rowOff>53340</xdr:rowOff>
                  </to>
                </anchor>
              </controlPr>
            </control>
          </mc:Choice>
        </mc:AlternateContent>
        <mc:AlternateContent xmlns:mc="http://schemas.openxmlformats.org/markup-compatibility/2006">
          <mc:Choice Requires="x14">
            <control shapeId="35922" r:id="rId85" name="Check Box 82">
              <controlPr defaultSize="0" autoFill="0" autoLine="0" autoPict="0">
                <anchor moveWithCells="1">
                  <from>
                    <xdr:col>5</xdr:col>
                    <xdr:colOff>22860</xdr:colOff>
                    <xdr:row>128</xdr:row>
                    <xdr:rowOff>0</xdr:rowOff>
                  </from>
                  <to>
                    <xdr:col>6</xdr:col>
                    <xdr:colOff>1402080</xdr:colOff>
                    <xdr:row>129</xdr:row>
                    <xdr:rowOff>53340</xdr:rowOff>
                  </to>
                </anchor>
              </controlPr>
            </control>
          </mc:Choice>
        </mc:AlternateContent>
        <mc:AlternateContent xmlns:mc="http://schemas.openxmlformats.org/markup-compatibility/2006">
          <mc:Choice Requires="x14">
            <control shapeId="35923" r:id="rId86" name="Check Box 83">
              <controlPr defaultSize="0" autoFill="0" autoLine="0" autoPict="0">
                <anchor moveWithCells="1">
                  <from>
                    <xdr:col>1</xdr:col>
                    <xdr:colOff>22860</xdr:colOff>
                    <xdr:row>129</xdr:row>
                    <xdr:rowOff>7620</xdr:rowOff>
                  </from>
                  <to>
                    <xdr:col>2</xdr:col>
                    <xdr:colOff>1150620</xdr:colOff>
                    <xdr:row>130</xdr:row>
                    <xdr:rowOff>53340</xdr:rowOff>
                  </to>
                </anchor>
              </controlPr>
            </control>
          </mc:Choice>
        </mc:AlternateContent>
        <mc:AlternateContent xmlns:mc="http://schemas.openxmlformats.org/markup-compatibility/2006">
          <mc:Choice Requires="x14">
            <control shapeId="35924" r:id="rId87" name="Check Box 84">
              <controlPr defaultSize="0" autoFill="0" autoLine="0" autoPict="0">
                <anchor moveWithCells="1">
                  <from>
                    <xdr:col>5</xdr:col>
                    <xdr:colOff>22860</xdr:colOff>
                    <xdr:row>129</xdr:row>
                    <xdr:rowOff>0</xdr:rowOff>
                  </from>
                  <to>
                    <xdr:col>6</xdr:col>
                    <xdr:colOff>1402080</xdr:colOff>
                    <xdr:row>130</xdr:row>
                    <xdr:rowOff>53340</xdr:rowOff>
                  </to>
                </anchor>
              </controlPr>
            </control>
          </mc:Choice>
        </mc:AlternateContent>
        <mc:AlternateContent xmlns:mc="http://schemas.openxmlformats.org/markup-compatibility/2006">
          <mc:Choice Requires="x14">
            <control shapeId="35925" r:id="rId88" name="Check Box 85">
              <controlPr defaultSize="0" autoFill="0" autoLine="0" autoPict="0">
                <anchor moveWithCells="1">
                  <from>
                    <xdr:col>1</xdr:col>
                    <xdr:colOff>22860</xdr:colOff>
                    <xdr:row>130</xdr:row>
                    <xdr:rowOff>7620</xdr:rowOff>
                  </from>
                  <to>
                    <xdr:col>2</xdr:col>
                    <xdr:colOff>1150620</xdr:colOff>
                    <xdr:row>131</xdr:row>
                    <xdr:rowOff>53340</xdr:rowOff>
                  </to>
                </anchor>
              </controlPr>
            </control>
          </mc:Choice>
        </mc:AlternateContent>
        <mc:AlternateContent xmlns:mc="http://schemas.openxmlformats.org/markup-compatibility/2006">
          <mc:Choice Requires="x14">
            <control shapeId="35926" r:id="rId89" name="Check Box 86">
              <controlPr defaultSize="0" autoFill="0" autoLine="0" autoPict="0">
                <anchor moveWithCells="1">
                  <from>
                    <xdr:col>1</xdr:col>
                    <xdr:colOff>22860</xdr:colOff>
                    <xdr:row>131</xdr:row>
                    <xdr:rowOff>7620</xdr:rowOff>
                  </from>
                  <to>
                    <xdr:col>2</xdr:col>
                    <xdr:colOff>1150620</xdr:colOff>
                    <xdr:row>132</xdr:row>
                    <xdr:rowOff>53340</xdr:rowOff>
                  </to>
                </anchor>
              </controlPr>
            </control>
          </mc:Choice>
        </mc:AlternateContent>
        <mc:AlternateContent xmlns:mc="http://schemas.openxmlformats.org/markup-compatibility/2006">
          <mc:Choice Requires="x14">
            <control shapeId="35927" r:id="rId90" name="Check Box 87">
              <controlPr defaultSize="0" autoFill="0" autoLine="0" autoPict="0">
                <anchor moveWithCells="1">
                  <from>
                    <xdr:col>7</xdr:col>
                    <xdr:colOff>22860</xdr:colOff>
                    <xdr:row>122</xdr:row>
                    <xdr:rowOff>0</xdr:rowOff>
                  </from>
                  <to>
                    <xdr:col>7</xdr:col>
                    <xdr:colOff>929640</xdr:colOff>
                    <xdr:row>123</xdr:row>
                    <xdr:rowOff>30480</xdr:rowOff>
                  </to>
                </anchor>
              </controlPr>
            </control>
          </mc:Choice>
        </mc:AlternateContent>
        <mc:AlternateContent xmlns:mc="http://schemas.openxmlformats.org/markup-compatibility/2006">
          <mc:Choice Requires="x14">
            <control shapeId="35928" r:id="rId91" name="Check Box 88">
              <controlPr defaultSize="0" autoFill="0" autoLine="0" autoPict="0">
                <anchor moveWithCells="1">
                  <from>
                    <xdr:col>7</xdr:col>
                    <xdr:colOff>990600</xdr:colOff>
                    <xdr:row>122</xdr:row>
                    <xdr:rowOff>22860</xdr:rowOff>
                  </from>
                  <to>
                    <xdr:col>8</xdr:col>
                    <xdr:colOff>1066800</xdr:colOff>
                    <xdr:row>123</xdr:row>
                    <xdr:rowOff>30480</xdr:rowOff>
                  </to>
                </anchor>
              </controlPr>
            </control>
          </mc:Choice>
        </mc:AlternateContent>
        <mc:AlternateContent xmlns:mc="http://schemas.openxmlformats.org/markup-compatibility/2006">
          <mc:Choice Requires="x14">
            <control shapeId="35929" r:id="rId92" name="Check Box 89">
              <controlPr defaultSize="0" autoFill="0" autoLine="0" autoPict="0">
                <anchor moveWithCells="1">
                  <from>
                    <xdr:col>1</xdr:col>
                    <xdr:colOff>22860</xdr:colOff>
                    <xdr:row>159</xdr:row>
                    <xdr:rowOff>0</xdr:rowOff>
                  </from>
                  <to>
                    <xdr:col>2</xdr:col>
                    <xdr:colOff>137160</xdr:colOff>
                    <xdr:row>160</xdr:row>
                    <xdr:rowOff>30480</xdr:rowOff>
                  </to>
                </anchor>
              </controlPr>
            </control>
          </mc:Choice>
        </mc:AlternateContent>
        <mc:AlternateContent xmlns:mc="http://schemas.openxmlformats.org/markup-compatibility/2006">
          <mc:Choice Requires="x14">
            <control shapeId="35930" r:id="rId93" name="Check Box 90">
              <controlPr defaultSize="0" autoFill="0" autoLine="0" autoPict="0">
                <anchor moveWithCells="1">
                  <from>
                    <xdr:col>1</xdr:col>
                    <xdr:colOff>990600</xdr:colOff>
                    <xdr:row>159</xdr:row>
                    <xdr:rowOff>22860</xdr:rowOff>
                  </from>
                  <to>
                    <xdr:col>2</xdr:col>
                    <xdr:colOff>1143000</xdr:colOff>
                    <xdr:row>160</xdr:row>
                    <xdr:rowOff>15240</xdr:rowOff>
                  </to>
                </anchor>
              </controlPr>
            </control>
          </mc:Choice>
        </mc:AlternateContent>
        <mc:AlternateContent xmlns:mc="http://schemas.openxmlformats.org/markup-compatibility/2006">
          <mc:Choice Requires="x14">
            <control shapeId="35931" r:id="rId94" name="Check Box 91">
              <controlPr defaultSize="0" autoFill="0" autoLine="0" autoPict="0">
                <anchor moveWithCells="1">
                  <from>
                    <xdr:col>3</xdr:col>
                    <xdr:colOff>22860</xdr:colOff>
                    <xdr:row>159</xdr:row>
                    <xdr:rowOff>0</xdr:rowOff>
                  </from>
                  <to>
                    <xdr:col>3</xdr:col>
                    <xdr:colOff>929640</xdr:colOff>
                    <xdr:row>160</xdr:row>
                    <xdr:rowOff>30480</xdr:rowOff>
                  </to>
                </anchor>
              </controlPr>
            </control>
          </mc:Choice>
        </mc:AlternateContent>
        <mc:AlternateContent xmlns:mc="http://schemas.openxmlformats.org/markup-compatibility/2006">
          <mc:Choice Requires="x14">
            <control shapeId="35932" r:id="rId95" name="Check Box 92">
              <controlPr defaultSize="0" autoFill="0" autoLine="0" autoPict="0">
                <anchor moveWithCells="1">
                  <from>
                    <xdr:col>3</xdr:col>
                    <xdr:colOff>990600</xdr:colOff>
                    <xdr:row>159</xdr:row>
                    <xdr:rowOff>22860</xdr:rowOff>
                  </from>
                  <to>
                    <xdr:col>4</xdr:col>
                    <xdr:colOff>647700</xdr:colOff>
                    <xdr:row>160</xdr:row>
                    <xdr:rowOff>15240</xdr:rowOff>
                  </to>
                </anchor>
              </controlPr>
            </control>
          </mc:Choice>
        </mc:AlternateContent>
        <mc:AlternateContent xmlns:mc="http://schemas.openxmlformats.org/markup-compatibility/2006">
          <mc:Choice Requires="x14">
            <control shapeId="35933" r:id="rId96" name="Check Box 93">
              <controlPr defaultSize="0" autoFill="0" autoLine="0" autoPict="0">
                <anchor moveWithCells="1">
                  <from>
                    <xdr:col>5</xdr:col>
                    <xdr:colOff>22860</xdr:colOff>
                    <xdr:row>159</xdr:row>
                    <xdr:rowOff>0</xdr:rowOff>
                  </from>
                  <to>
                    <xdr:col>5</xdr:col>
                    <xdr:colOff>929640</xdr:colOff>
                    <xdr:row>160</xdr:row>
                    <xdr:rowOff>30480</xdr:rowOff>
                  </to>
                </anchor>
              </controlPr>
            </control>
          </mc:Choice>
        </mc:AlternateContent>
        <mc:AlternateContent xmlns:mc="http://schemas.openxmlformats.org/markup-compatibility/2006">
          <mc:Choice Requires="x14">
            <control shapeId="35934" r:id="rId97" name="Check Box 94">
              <controlPr defaultSize="0" autoFill="0" autoLine="0" autoPict="0">
                <anchor moveWithCells="1">
                  <from>
                    <xdr:col>5</xdr:col>
                    <xdr:colOff>990600</xdr:colOff>
                    <xdr:row>159</xdr:row>
                    <xdr:rowOff>22860</xdr:rowOff>
                  </from>
                  <to>
                    <xdr:col>6</xdr:col>
                    <xdr:colOff>1059180</xdr:colOff>
                    <xdr:row>160</xdr:row>
                    <xdr:rowOff>15240</xdr:rowOff>
                  </to>
                </anchor>
              </controlPr>
            </control>
          </mc:Choice>
        </mc:AlternateContent>
        <mc:AlternateContent xmlns:mc="http://schemas.openxmlformats.org/markup-compatibility/2006">
          <mc:Choice Requires="x14">
            <control shapeId="35935" r:id="rId98" name="Check Box 95">
              <controlPr defaultSize="0" autoFill="0" autoLine="0" autoPict="0">
                <anchor moveWithCells="1">
                  <from>
                    <xdr:col>1</xdr:col>
                    <xdr:colOff>22860</xdr:colOff>
                    <xdr:row>161</xdr:row>
                    <xdr:rowOff>7620</xdr:rowOff>
                  </from>
                  <to>
                    <xdr:col>2</xdr:col>
                    <xdr:colOff>1150620</xdr:colOff>
                    <xdr:row>162</xdr:row>
                    <xdr:rowOff>53340</xdr:rowOff>
                  </to>
                </anchor>
              </controlPr>
            </control>
          </mc:Choice>
        </mc:AlternateContent>
        <mc:AlternateContent xmlns:mc="http://schemas.openxmlformats.org/markup-compatibility/2006">
          <mc:Choice Requires="x14">
            <control shapeId="35936" r:id="rId99" name="Check Box 96">
              <controlPr defaultSize="0" autoFill="0" autoLine="0" autoPict="0">
                <anchor moveWithCells="1">
                  <from>
                    <xdr:col>5</xdr:col>
                    <xdr:colOff>22860</xdr:colOff>
                    <xdr:row>161</xdr:row>
                    <xdr:rowOff>0</xdr:rowOff>
                  </from>
                  <to>
                    <xdr:col>6</xdr:col>
                    <xdr:colOff>1402080</xdr:colOff>
                    <xdr:row>162</xdr:row>
                    <xdr:rowOff>53340</xdr:rowOff>
                  </to>
                </anchor>
              </controlPr>
            </control>
          </mc:Choice>
        </mc:AlternateContent>
        <mc:AlternateContent xmlns:mc="http://schemas.openxmlformats.org/markup-compatibility/2006">
          <mc:Choice Requires="x14">
            <control shapeId="35937" r:id="rId100" name="Check Box 97">
              <controlPr defaultSize="0" autoFill="0" autoLine="0" autoPict="0">
                <anchor moveWithCells="1">
                  <from>
                    <xdr:col>1</xdr:col>
                    <xdr:colOff>38100</xdr:colOff>
                    <xdr:row>161</xdr:row>
                    <xdr:rowOff>182880</xdr:rowOff>
                  </from>
                  <to>
                    <xdr:col>2</xdr:col>
                    <xdr:colOff>1165860</xdr:colOff>
                    <xdr:row>163</xdr:row>
                    <xdr:rowOff>83820</xdr:rowOff>
                  </to>
                </anchor>
              </controlPr>
            </control>
          </mc:Choice>
        </mc:AlternateContent>
        <mc:AlternateContent xmlns:mc="http://schemas.openxmlformats.org/markup-compatibility/2006">
          <mc:Choice Requires="x14">
            <control shapeId="35938" r:id="rId101" name="Check Box 98">
              <controlPr defaultSize="0" autoFill="0" autoLine="0" autoPict="0">
                <anchor moveWithCells="1">
                  <from>
                    <xdr:col>5</xdr:col>
                    <xdr:colOff>22860</xdr:colOff>
                    <xdr:row>162</xdr:row>
                    <xdr:rowOff>0</xdr:rowOff>
                  </from>
                  <to>
                    <xdr:col>6</xdr:col>
                    <xdr:colOff>1402080</xdr:colOff>
                    <xdr:row>163</xdr:row>
                    <xdr:rowOff>53340</xdr:rowOff>
                  </to>
                </anchor>
              </controlPr>
            </control>
          </mc:Choice>
        </mc:AlternateContent>
        <mc:AlternateContent xmlns:mc="http://schemas.openxmlformats.org/markup-compatibility/2006">
          <mc:Choice Requires="x14">
            <control shapeId="35939" r:id="rId102" name="Check Box 99">
              <controlPr defaultSize="0" autoFill="0" autoLine="0" autoPict="0">
                <anchor moveWithCells="1">
                  <from>
                    <xdr:col>1</xdr:col>
                    <xdr:colOff>22860</xdr:colOff>
                    <xdr:row>163</xdr:row>
                    <xdr:rowOff>7620</xdr:rowOff>
                  </from>
                  <to>
                    <xdr:col>2</xdr:col>
                    <xdr:colOff>1150620</xdr:colOff>
                    <xdr:row>164</xdr:row>
                    <xdr:rowOff>53340</xdr:rowOff>
                  </to>
                </anchor>
              </controlPr>
            </control>
          </mc:Choice>
        </mc:AlternateContent>
        <mc:AlternateContent xmlns:mc="http://schemas.openxmlformats.org/markup-compatibility/2006">
          <mc:Choice Requires="x14">
            <control shapeId="35940" r:id="rId103" name="Check Box 100">
              <controlPr defaultSize="0" autoFill="0" autoLine="0" autoPict="0">
                <anchor moveWithCells="1">
                  <from>
                    <xdr:col>5</xdr:col>
                    <xdr:colOff>22860</xdr:colOff>
                    <xdr:row>163</xdr:row>
                    <xdr:rowOff>0</xdr:rowOff>
                  </from>
                  <to>
                    <xdr:col>6</xdr:col>
                    <xdr:colOff>1402080</xdr:colOff>
                    <xdr:row>164</xdr:row>
                    <xdr:rowOff>53340</xdr:rowOff>
                  </to>
                </anchor>
              </controlPr>
            </control>
          </mc:Choice>
        </mc:AlternateContent>
        <mc:AlternateContent xmlns:mc="http://schemas.openxmlformats.org/markup-compatibility/2006">
          <mc:Choice Requires="x14">
            <control shapeId="35941" r:id="rId104" name="Check Box 101">
              <controlPr defaultSize="0" autoFill="0" autoLine="0" autoPict="0">
                <anchor moveWithCells="1">
                  <from>
                    <xdr:col>1</xdr:col>
                    <xdr:colOff>22860</xdr:colOff>
                    <xdr:row>164</xdr:row>
                    <xdr:rowOff>7620</xdr:rowOff>
                  </from>
                  <to>
                    <xdr:col>2</xdr:col>
                    <xdr:colOff>1150620</xdr:colOff>
                    <xdr:row>165</xdr:row>
                    <xdr:rowOff>53340</xdr:rowOff>
                  </to>
                </anchor>
              </controlPr>
            </control>
          </mc:Choice>
        </mc:AlternateContent>
        <mc:AlternateContent xmlns:mc="http://schemas.openxmlformats.org/markup-compatibility/2006">
          <mc:Choice Requires="x14">
            <control shapeId="35942" r:id="rId105" name="Check Box 102">
              <controlPr defaultSize="0" autoFill="0" autoLine="0" autoPict="0">
                <anchor moveWithCells="1">
                  <from>
                    <xdr:col>5</xdr:col>
                    <xdr:colOff>22860</xdr:colOff>
                    <xdr:row>164</xdr:row>
                    <xdr:rowOff>0</xdr:rowOff>
                  </from>
                  <to>
                    <xdr:col>6</xdr:col>
                    <xdr:colOff>1402080</xdr:colOff>
                    <xdr:row>165</xdr:row>
                    <xdr:rowOff>53340</xdr:rowOff>
                  </to>
                </anchor>
              </controlPr>
            </control>
          </mc:Choice>
        </mc:AlternateContent>
        <mc:AlternateContent xmlns:mc="http://schemas.openxmlformats.org/markup-compatibility/2006">
          <mc:Choice Requires="x14">
            <control shapeId="35943" r:id="rId106" name="Check Box 103">
              <controlPr defaultSize="0" autoFill="0" autoLine="0" autoPict="0">
                <anchor moveWithCells="1">
                  <from>
                    <xdr:col>1</xdr:col>
                    <xdr:colOff>22860</xdr:colOff>
                    <xdr:row>165</xdr:row>
                    <xdr:rowOff>7620</xdr:rowOff>
                  </from>
                  <to>
                    <xdr:col>2</xdr:col>
                    <xdr:colOff>1150620</xdr:colOff>
                    <xdr:row>166</xdr:row>
                    <xdr:rowOff>53340</xdr:rowOff>
                  </to>
                </anchor>
              </controlPr>
            </control>
          </mc:Choice>
        </mc:AlternateContent>
        <mc:AlternateContent xmlns:mc="http://schemas.openxmlformats.org/markup-compatibility/2006">
          <mc:Choice Requires="x14">
            <control shapeId="35944" r:id="rId107" name="Check Box 104">
              <controlPr defaultSize="0" autoFill="0" autoLine="0" autoPict="0">
                <anchor moveWithCells="1">
                  <from>
                    <xdr:col>5</xdr:col>
                    <xdr:colOff>22860</xdr:colOff>
                    <xdr:row>165</xdr:row>
                    <xdr:rowOff>0</xdr:rowOff>
                  </from>
                  <to>
                    <xdr:col>6</xdr:col>
                    <xdr:colOff>1402080</xdr:colOff>
                    <xdr:row>166</xdr:row>
                    <xdr:rowOff>53340</xdr:rowOff>
                  </to>
                </anchor>
              </controlPr>
            </control>
          </mc:Choice>
        </mc:AlternateContent>
        <mc:AlternateContent xmlns:mc="http://schemas.openxmlformats.org/markup-compatibility/2006">
          <mc:Choice Requires="x14">
            <control shapeId="35945" r:id="rId108" name="Check Box 105">
              <controlPr defaultSize="0" autoFill="0" autoLine="0" autoPict="0">
                <anchor moveWithCells="1">
                  <from>
                    <xdr:col>1</xdr:col>
                    <xdr:colOff>22860</xdr:colOff>
                    <xdr:row>166</xdr:row>
                    <xdr:rowOff>7620</xdr:rowOff>
                  </from>
                  <to>
                    <xdr:col>2</xdr:col>
                    <xdr:colOff>1150620</xdr:colOff>
                    <xdr:row>167</xdr:row>
                    <xdr:rowOff>53340</xdr:rowOff>
                  </to>
                </anchor>
              </controlPr>
            </control>
          </mc:Choice>
        </mc:AlternateContent>
        <mc:AlternateContent xmlns:mc="http://schemas.openxmlformats.org/markup-compatibility/2006">
          <mc:Choice Requires="x14">
            <control shapeId="35946" r:id="rId109" name="Check Box 106">
              <controlPr defaultSize="0" autoFill="0" autoLine="0" autoPict="0">
                <anchor moveWithCells="1">
                  <from>
                    <xdr:col>5</xdr:col>
                    <xdr:colOff>22860</xdr:colOff>
                    <xdr:row>166</xdr:row>
                    <xdr:rowOff>0</xdr:rowOff>
                  </from>
                  <to>
                    <xdr:col>6</xdr:col>
                    <xdr:colOff>1402080</xdr:colOff>
                    <xdr:row>167</xdr:row>
                    <xdr:rowOff>53340</xdr:rowOff>
                  </to>
                </anchor>
              </controlPr>
            </control>
          </mc:Choice>
        </mc:AlternateContent>
        <mc:AlternateContent xmlns:mc="http://schemas.openxmlformats.org/markup-compatibility/2006">
          <mc:Choice Requires="x14">
            <control shapeId="35947" r:id="rId110" name="Check Box 107">
              <controlPr defaultSize="0" autoFill="0" autoLine="0" autoPict="0">
                <anchor moveWithCells="1">
                  <from>
                    <xdr:col>1</xdr:col>
                    <xdr:colOff>22860</xdr:colOff>
                    <xdr:row>167</xdr:row>
                    <xdr:rowOff>7620</xdr:rowOff>
                  </from>
                  <to>
                    <xdr:col>2</xdr:col>
                    <xdr:colOff>1150620</xdr:colOff>
                    <xdr:row>168</xdr:row>
                    <xdr:rowOff>53340</xdr:rowOff>
                  </to>
                </anchor>
              </controlPr>
            </control>
          </mc:Choice>
        </mc:AlternateContent>
        <mc:AlternateContent xmlns:mc="http://schemas.openxmlformats.org/markup-compatibility/2006">
          <mc:Choice Requires="x14">
            <control shapeId="35948" r:id="rId111" name="Check Box 108">
              <controlPr defaultSize="0" autoFill="0" autoLine="0" autoPict="0">
                <anchor moveWithCells="1">
                  <from>
                    <xdr:col>1</xdr:col>
                    <xdr:colOff>22860</xdr:colOff>
                    <xdr:row>168</xdr:row>
                    <xdr:rowOff>7620</xdr:rowOff>
                  </from>
                  <to>
                    <xdr:col>2</xdr:col>
                    <xdr:colOff>1150620</xdr:colOff>
                    <xdr:row>169</xdr:row>
                    <xdr:rowOff>53340</xdr:rowOff>
                  </to>
                </anchor>
              </controlPr>
            </control>
          </mc:Choice>
        </mc:AlternateContent>
        <mc:AlternateContent xmlns:mc="http://schemas.openxmlformats.org/markup-compatibility/2006">
          <mc:Choice Requires="x14">
            <control shapeId="35949" r:id="rId112" name="Check Box 109">
              <controlPr defaultSize="0" autoFill="0" autoLine="0" autoPict="0">
                <anchor moveWithCells="1">
                  <from>
                    <xdr:col>7</xdr:col>
                    <xdr:colOff>22860</xdr:colOff>
                    <xdr:row>159</xdr:row>
                    <xdr:rowOff>0</xdr:rowOff>
                  </from>
                  <to>
                    <xdr:col>7</xdr:col>
                    <xdr:colOff>929640</xdr:colOff>
                    <xdr:row>160</xdr:row>
                    <xdr:rowOff>30480</xdr:rowOff>
                  </to>
                </anchor>
              </controlPr>
            </control>
          </mc:Choice>
        </mc:AlternateContent>
        <mc:AlternateContent xmlns:mc="http://schemas.openxmlformats.org/markup-compatibility/2006">
          <mc:Choice Requires="x14">
            <control shapeId="35950" r:id="rId113" name="Check Box 110">
              <controlPr defaultSize="0" autoFill="0" autoLine="0" autoPict="0">
                <anchor moveWithCells="1">
                  <from>
                    <xdr:col>7</xdr:col>
                    <xdr:colOff>990600</xdr:colOff>
                    <xdr:row>159</xdr:row>
                    <xdr:rowOff>22860</xdr:rowOff>
                  </from>
                  <to>
                    <xdr:col>8</xdr:col>
                    <xdr:colOff>1066800</xdr:colOff>
                    <xdr:row>160</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1DC78-A73B-4DEE-8BA5-C12B7A4140F3}">
  <dimension ref="A1:T186"/>
  <sheetViews>
    <sheetView showGridLines="0" topLeftCell="A3" zoomScale="80" zoomScaleNormal="80" zoomScaleSheetLayoutView="85" workbookViewId="0">
      <selection activeCell="B13" sqref="B13:C13"/>
    </sheetView>
  </sheetViews>
  <sheetFormatPr defaultColWidth="9.33203125" defaultRowHeight="15.6" x14ac:dyDescent="0.3"/>
  <cols>
    <col min="1" max="1" width="18.44140625" style="271" customWidth="1"/>
    <col min="2" max="2" width="24.33203125" style="271" bestFit="1" customWidth="1"/>
    <col min="3" max="3" width="14.33203125" style="271" customWidth="1"/>
    <col min="4" max="5" width="13.33203125" style="271" customWidth="1"/>
    <col min="6" max="6" width="17.109375" style="271" customWidth="1"/>
    <col min="7" max="7" width="13.33203125" style="271" customWidth="1"/>
    <col min="8" max="8" width="15.33203125" style="271" customWidth="1"/>
    <col min="9" max="12" width="13.33203125" style="271" customWidth="1"/>
    <col min="13" max="13" width="13.6640625" style="271" customWidth="1"/>
    <col min="14" max="14" width="12.6640625" style="271" bestFit="1" customWidth="1"/>
    <col min="15" max="15" width="9.33203125" style="271" bestFit="1" customWidth="1"/>
    <col min="16" max="16" width="14" style="271" customWidth="1"/>
    <col min="17" max="17" width="11.6640625" style="271" customWidth="1"/>
    <col min="18" max="18" width="9.33203125" style="271" bestFit="1" customWidth="1"/>
    <col min="19" max="19" width="11.5546875" style="271" customWidth="1"/>
    <col min="20" max="20" width="0" style="271" hidden="1" customWidth="1"/>
    <col min="21" max="22" width="9.33203125" style="271" bestFit="1" customWidth="1"/>
    <col min="23" max="16384" width="9.33203125" style="271"/>
  </cols>
  <sheetData>
    <row r="1" spans="1:17" x14ac:dyDescent="0.3">
      <c r="A1" s="799" t="s">
        <v>389</v>
      </c>
      <c r="B1" s="800"/>
      <c r="C1" s="800"/>
      <c r="D1" s="800"/>
      <c r="E1" s="801" t="s">
        <v>387</v>
      </c>
      <c r="F1" s="801"/>
      <c r="G1" s="801"/>
      <c r="H1" s="801"/>
      <c r="I1" s="802"/>
    </row>
    <row r="2" spans="1:17" x14ac:dyDescent="0.3">
      <c r="A2" s="803" t="str">
        <f>Directions!A2</f>
        <v>DT2220     07/2022</v>
      </c>
      <c r="B2" s="804"/>
      <c r="C2" s="804"/>
      <c r="D2" s="804"/>
      <c r="E2" s="804"/>
      <c r="F2" s="804"/>
      <c r="G2" s="804"/>
      <c r="H2" s="1047"/>
      <c r="I2" s="1048"/>
    </row>
    <row r="3" spans="1:17" ht="15.6" customHeight="1" x14ac:dyDescent="0.3">
      <c r="A3" s="728" t="s">
        <v>15</v>
      </c>
      <c r="B3" s="729"/>
      <c r="C3" s="729"/>
      <c r="D3" s="729"/>
      <c r="E3" s="729"/>
      <c r="F3" s="729"/>
      <c r="G3" s="729"/>
      <c r="H3" s="575" t="s">
        <v>399</v>
      </c>
      <c r="I3" s="574">
        <f>'1 Certification'!H22</f>
        <v>0</v>
      </c>
    </row>
    <row r="4" spans="1:17" x14ac:dyDescent="0.3">
      <c r="A4" s="733" t="s">
        <v>16</v>
      </c>
      <c r="B4" s="734"/>
      <c r="C4" s="734" t="s">
        <v>17</v>
      </c>
      <c r="D4" s="734"/>
      <c r="E4" s="735" t="s">
        <v>18</v>
      </c>
      <c r="F4" s="736"/>
      <c r="G4" s="736"/>
      <c r="H4" s="735" t="s">
        <v>19</v>
      </c>
      <c r="I4" s="1063"/>
    </row>
    <row r="5" spans="1:17" x14ac:dyDescent="0.3">
      <c r="A5" s="728">
        <f>'1 Certification'!B5</f>
        <v>0</v>
      </c>
      <c r="B5" s="730"/>
      <c r="C5" s="731">
        <f>'1 Certification'!E5</f>
        <v>0</v>
      </c>
      <c r="D5" s="730"/>
      <c r="E5" s="737">
        <f>'1 Certification'!F5</f>
        <v>0</v>
      </c>
      <c r="F5" s="738"/>
      <c r="G5" s="738"/>
      <c r="H5" s="739">
        <f>'1 Certification'!H5</f>
        <v>0</v>
      </c>
      <c r="I5" s="740"/>
      <c r="O5" s="271" t="s">
        <v>2</v>
      </c>
    </row>
    <row r="6" spans="1:17" x14ac:dyDescent="0.3">
      <c r="A6" s="723" t="s">
        <v>20</v>
      </c>
      <c r="B6" s="724"/>
      <c r="C6" s="724"/>
      <c r="D6" s="724"/>
      <c r="E6" s="725" t="s">
        <v>21</v>
      </c>
      <c r="F6" s="726"/>
      <c r="G6" s="726"/>
      <c r="H6" s="726"/>
      <c r="I6" s="727"/>
    </row>
    <row r="7" spans="1:17" x14ac:dyDescent="0.3">
      <c r="A7" s="728">
        <f>'1 Certification'!B7</f>
        <v>0</v>
      </c>
      <c r="B7" s="729"/>
      <c r="C7" s="729"/>
      <c r="D7" s="730"/>
      <c r="E7" s="731">
        <f>'1 Certification'!F7</f>
        <v>0</v>
      </c>
      <c r="F7" s="729"/>
      <c r="G7" s="729"/>
      <c r="H7" s="729"/>
      <c r="I7" s="732"/>
    </row>
    <row r="8" spans="1:17" ht="15.45" customHeight="1" x14ac:dyDescent="0.3">
      <c r="A8" s="723" t="s">
        <v>22</v>
      </c>
      <c r="B8" s="724"/>
      <c r="C8" s="724"/>
      <c r="D8" s="724"/>
      <c r="E8" s="725" t="s">
        <v>311</v>
      </c>
      <c r="F8" s="726"/>
      <c r="G8" s="726"/>
      <c r="H8" s="726"/>
      <c r="I8" s="727"/>
      <c r="L8" s="272"/>
    </row>
    <row r="9" spans="1:17" ht="16.2" thickBot="1" x14ac:dyDescent="0.35">
      <c r="A9" s="770">
        <f>'1 Certification'!B9</f>
        <v>0</v>
      </c>
      <c r="B9" s="771"/>
      <c r="C9" s="771"/>
      <c r="D9" s="771"/>
      <c r="E9" s="772">
        <f>'1 Certification'!F9</f>
        <v>0</v>
      </c>
      <c r="F9" s="773"/>
      <c r="G9" s="773"/>
      <c r="H9" s="773"/>
      <c r="I9" s="774"/>
    </row>
    <row r="10" spans="1:17" ht="7.5" customHeight="1" thickBot="1" x14ac:dyDescent="0.35">
      <c r="A10" s="273"/>
      <c r="B10" s="274"/>
      <c r="C10" s="274"/>
      <c r="D10" s="274"/>
      <c r="E10" s="274"/>
      <c r="F10" s="274"/>
      <c r="G10" s="274"/>
      <c r="H10" s="274"/>
      <c r="I10" s="274"/>
    </row>
    <row r="11" spans="1:17" ht="18.600000000000001" thickBot="1" x14ac:dyDescent="0.35">
      <c r="A11" s="1052" t="s">
        <v>232</v>
      </c>
      <c r="B11" s="1053"/>
      <c r="C11" s="1053"/>
      <c r="D11" s="1053"/>
      <c r="E11" s="1053"/>
      <c r="F11" s="1053"/>
      <c r="G11" s="1053"/>
      <c r="H11" s="1053"/>
      <c r="I11" s="1056"/>
      <c r="J11" s="1054" t="str">
        <f>Directions!N9</f>
        <v>Version 2.0</v>
      </c>
      <c r="K11" s="1054"/>
      <c r="N11" s="275"/>
      <c r="Q11" s="276"/>
    </row>
    <row r="12" spans="1:17" s="281" customFormat="1" ht="16.2" thickBot="1" x14ac:dyDescent="0.35">
      <c r="A12" s="277" t="s">
        <v>24</v>
      </c>
      <c r="B12" s="1057" t="s">
        <v>178</v>
      </c>
      <c r="C12" s="1058"/>
      <c r="D12" s="1059" t="s">
        <v>184</v>
      </c>
      <c r="E12" s="1060"/>
      <c r="F12" s="278" t="s">
        <v>183</v>
      </c>
      <c r="G12" s="278" t="s">
        <v>26</v>
      </c>
      <c r="H12" s="279" t="s">
        <v>166</v>
      </c>
      <c r="I12" s="280" t="s">
        <v>27</v>
      </c>
    </row>
    <row r="13" spans="1:17" ht="15.6" customHeight="1" x14ac:dyDescent="0.3">
      <c r="A13" s="282" t="s">
        <v>167</v>
      </c>
      <c r="B13" s="1061"/>
      <c r="C13" s="1062"/>
      <c r="D13" s="1061"/>
      <c r="E13" s="1062"/>
      <c r="F13" s="526"/>
      <c r="G13" s="527"/>
      <c r="H13" s="527"/>
      <c r="I13" s="283">
        <f>$G$13*(1+($H$13/100))</f>
        <v>0</v>
      </c>
    </row>
    <row r="14" spans="1:17" ht="15.6" customHeight="1" x14ac:dyDescent="0.3">
      <c r="A14" s="284" t="s">
        <v>168</v>
      </c>
      <c r="B14" s="1045"/>
      <c r="C14" s="1046"/>
      <c r="D14" s="1045"/>
      <c r="E14" s="1046"/>
      <c r="F14" s="528"/>
      <c r="G14" s="529"/>
      <c r="H14" s="529"/>
      <c r="I14" s="285">
        <f>$G$14*(1+($H$14/100))</f>
        <v>0</v>
      </c>
    </row>
    <row r="15" spans="1:17" x14ac:dyDescent="0.3">
      <c r="A15" s="284" t="s">
        <v>185</v>
      </c>
      <c r="B15" s="1045"/>
      <c r="C15" s="1046"/>
      <c r="D15" s="1045"/>
      <c r="E15" s="1046"/>
      <c r="F15" s="528"/>
      <c r="G15" s="529"/>
      <c r="H15" s="529"/>
      <c r="I15" s="286">
        <f>$G$15*(1+($H$15/100))</f>
        <v>0</v>
      </c>
    </row>
    <row r="16" spans="1:17" ht="15.6" customHeight="1" x14ac:dyDescent="0.3">
      <c r="A16" s="282" t="s">
        <v>186</v>
      </c>
      <c r="B16" s="1045"/>
      <c r="C16" s="1046"/>
      <c r="D16" s="1045"/>
      <c r="E16" s="1046"/>
      <c r="F16" s="530"/>
      <c r="G16" s="531"/>
      <c r="H16" s="529"/>
      <c r="I16" s="287">
        <f>$G$16*(1+($H$16/100))</f>
        <v>0</v>
      </c>
    </row>
    <row r="17" spans="1:20" ht="16.2" customHeight="1" thickBot="1" x14ac:dyDescent="0.35">
      <c r="A17" s="288" t="s">
        <v>187</v>
      </c>
      <c r="B17" s="1064"/>
      <c r="C17" s="1065"/>
      <c r="D17" s="1064"/>
      <c r="E17" s="1065"/>
      <c r="F17" s="532"/>
      <c r="G17" s="533"/>
      <c r="H17" s="534"/>
      <c r="I17" s="289">
        <f>$G$17*(1+($H$17/100))</f>
        <v>0</v>
      </c>
    </row>
    <row r="18" spans="1:20" ht="16.2" thickBot="1" x14ac:dyDescent="0.35">
      <c r="A18" s="274"/>
      <c r="B18" s="290"/>
      <c r="C18" s="291"/>
      <c r="D18" s="291"/>
      <c r="E18" s="292"/>
      <c r="F18" s="290"/>
    </row>
    <row r="19" spans="1:20" ht="16.2" thickBot="1" x14ac:dyDescent="0.35">
      <c r="A19" s="1052" t="s">
        <v>177</v>
      </c>
      <c r="B19" s="1053"/>
      <c r="C19" s="293"/>
      <c r="D19" s="294"/>
      <c r="E19" s="294"/>
      <c r="F19" s="294"/>
      <c r="G19" s="294"/>
    </row>
    <row r="20" spans="1:20" ht="16.2" thickBot="1" x14ac:dyDescent="0.35">
      <c r="A20" s="295"/>
      <c r="B20" s="296"/>
      <c r="C20" s="297"/>
      <c r="D20" s="298"/>
      <c r="E20" s="299"/>
      <c r="H20" s="300"/>
    </row>
    <row r="21" spans="1:20" ht="15.6" customHeight="1" thickBot="1" x14ac:dyDescent="0.35">
      <c r="A21" s="1049" t="s">
        <v>28</v>
      </c>
      <c r="B21" s="1055"/>
      <c r="C21" s="1055"/>
      <c r="D21" s="1055"/>
      <c r="E21" s="1055"/>
      <c r="F21" s="1050"/>
      <c r="G21" s="290"/>
      <c r="H21" s="290"/>
      <c r="I21" s="290"/>
      <c r="J21" s="290"/>
      <c r="K21" s="290"/>
      <c r="L21" s="290"/>
      <c r="M21" s="290"/>
    </row>
    <row r="22" spans="1:20" ht="14.7" hidden="1" customHeight="1" thickBot="1" x14ac:dyDescent="0.35">
      <c r="A22" s="301"/>
      <c r="C22" s="302"/>
      <c r="D22" s="298"/>
      <c r="E22" s="299"/>
      <c r="H22" s="296" t="e">
        <f>IF(OR(AND(#REF!=0,#REF!=0),(#REF!&lt;&gt;0)),0,1)</f>
        <v>#REF!</v>
      </c>
      <c r="J22" s="296" t="e">
        <f>#REF!+#REF!+H22</f>
        <v>#REF!</v>
      </c>
      <c r="L22" s="303"/>
      <c r="M22" s="290"/>
      <c r="N22" s="303"/>
      <c r="O22" s="290"/>
      <c r="P22" s="304"/>
    </row>
    <row r="23" spans="1:20" s="309" customFormat="1" ht="16.2" thickBot="1" x14ac:dyDescent="0.35">
      <c r="A23" s="305" t="s">
        <v>229</v>
      </c>
      <c r="B23" s="306" t="str">
        <f>IF(ISTEXT(A13),A13,"")</f>
        <v>Coarse A</v>
      </c>
      <c r="C23" s="306" t="str">
        <f>IF(ISTEXT(A14),A14,"")</f>
        <v>Coarse B</v>
      </c>
      <c r="D23" s="306" t="str">
        <f>IF(ISTEXT(A15),A15,"")</f>
        <v>Coarse C</v>
      </c>
      <c r="E23" s="306" t="str">
        <f>IF(ISTEXT(A16),A16,"")</f>
        <v>Fine A</v>
      </c>
      <c r="F23" s="307" t="str">
        <f>IF(ISTEXT(A17),A17,"")</f>
        <v>Fine B</v>
      </c>
      <c r="G23" s="308"/>
      <c r="I23" s="308"/>
      <c r="K23" s="308"/>
      <c r="L23" s="302"/>
      <c r="M23" s="302"/>
      <c r="N23" s="302"/>
      <c r="O23" s="302"/>
      <c r="P23" s="302"/>
    </row>
    <row r="24" spans="1:20" s="309" customFormat="1" ht="47.4" customHeight="1" thickBot="1" x14ac:dyDescent="0.35">
      <c r="A24" s="310" t="s">
        <v>178</v>
      </c>
      <c r="B24" s="311" t="str">
        <f>IF(B13=0,"",B13)</f>
        <v/>
      </c>
      <c r="C24" s="312" t="str">
        <f>IF(B14=0,"",B14)</f>
        <v/>
      </c>
      <c r="D24" s="313" t="str">
        <f>IF(B15=0,"",B15)</f>
        <v/>
      </c>
      <c r="E24" s="313" t="str">
        <f>IF(B16=0,"",B16)</f>
        <v/>
      </c>
      <c r="F24" s="312" t="str">
        <f>IF(B17=0,"",B17)</f>
        <v/>
      </c>
      <c r="G24" s="314"/>
      <c r="I24" s="315"/>
      <c r="K24" s="315"/>
      <c r="L24" s="316"/>
      <c r="M24" s="316"/>
      <c r="N24" s="316"/>
      <c r="O24" s="316"/>
      <c r="P24" s="316"/>
    </row>
    <row r="25" spans="1:20" s="309" customFormat="1" ht="16.2" thickBot="1" x14ac:dyDescent="0.35">
      <c r="A25" s="317" t="s">
        <v>31</v>
      </c>
      <c r="B25" s="318" t="s">
        <v>32</v>
      </c>
      <c r="C25" s="318" t="s">
        <v>32</v>
      </c>
      <c r="D25" s="318" t="s">
        <v>32</v>
      </c>
      <c r="E25" s="317" t="s">
        <v>32</v>
      </c>
      <c r="F25" s="318" t="s">
        <v>32</v>
      </c>
      <c r="G25" s="319"/>
      <c r="I25" s="319"/>
      <c r="K25" s="319"/>
      <c r="L25" s="316"/>
      <c r="M25" s="316"/>
      <c r="N25" s="316"/>
      <c r="O25" s="320"/>
      <c r="P25" s="320"/>
    </row>
    <row r="26" spans="1:20" s="309" customFormat="1" x14ac:dyDescent="0.3">
      <c r="A26" s="321" t="s">
        <v>34</v>
      </c>
      <c r="B26" s="322"/>
      <c r="C26" s="322"/>
      <c r="D26" s="322"/>
      <c r="E26" s="323"/>
      <c r="F26" s="323"/>
      <c r="G26" s="316"/>
      <c r="I26" s="316"/>
      <c r="K26" s="316"/>
      <c r="L26" s="324"/>
      <c r="M26" s="324"/>
      <c r="N26" s="324"/>
      <c r="O26" s="324"/>
      <c r="P26" s="316"/>
    </row>
    <row r="27" spans="1:20" x14ac:dyDescent="0.3">
      <c r="A27" s="325" t="s">
        <v>35</v>
      </c>
      <c r="B27" s="322"/>
      <c r="C27" s="322"/>
      <c r="D27" s="322"/>
      <c r="E27" s="322"/>
      <c r="F27" s="322"/>
      <c r="G27" s="326"/>
      <c r="I27" s="326"/>
      <c r="K27" s="326"/>
      <c r="L27" s="326"/>
      <c r="M27" s="327"/>
      <c r="N27" s="328"/>
      <c r="O27" s="329"/>
      <c r="P27" s="330"/>
      <c r="T27" s="271">
        <v>100</v>
      </c>
    </row>
    <row r="28" spans="1:20" x14ac:dyDescent="0.3">
      <c r="A28" s="325" t="s">
        <v>36</v>
      </c>
      <c r="B28" s="322"/>
      <c r="C28" s="322"/>
      <c r="D28" s="322"/>
      <c r="E28" s="322"/>
      <c r="F28" s="322"/>
      <c r="G28" s="326"/>
      <c r="I28" s="326"/>
      <c r="K28" s="326"/>
      <c r="L28" s="326"/>
      <c r="M28" s="327"/>
      <c r="N28" s="328"/>
      <c r="O28" s="329"/>
      <c r="P28" s="330"/>
      <c r="T28" s="271">
        <v>100</v>
      </c>
    </row>
    <row r="29" spans="1:20" x14ac:dyDescent="0.3">
      <c r="A29" s="325" t="s">
        <v>37</v>
      </c>
      <c r="B29" s="322"/>
      <c r="C29" s="322"/>
      <c r="D29" s="322"/>
      <c r="E29" s="322"/>
      <c r="F29" s="322"/>
      <c r="G29" s="326"/>
      <c r="I29" s="326"/>
      <c r="K29" s="326"/>
      <c r="L29" s="326"/>
      <c r="M29" s="327"/>
      <c r="N29" s="328"/>
      <c r="O29" s="329"/>
      <c r="P29" s="330"/>
      <c r="T29" s="271">
        <v>100</v>
      </c>
    </row>
    <row r="30" spans="1:20" x14ac:dyDescent="0.3">
      <c r="A30" s="325" t="s">
        <v>38</v>
      </c>
      <c r="B30" s="322"/>
      <c r="C30" s="322"/>
      <c r="D30" s="322"/>
      <c r="E30" s="322"/>
      <c r="F30" s="322"/>
      <c r="G30" s="326"/>
      <c r="I30" s="326"/>
      <c r="K30" s="326"/>
      <c r="L30" s="326"/>
      <c r="M30" s="327"/>
      <c r="N30" s="328"/>
      <c r="O30" s="329"/>
      <c r="P30" s="330"/>
      <c r="T30" s="271">
        <v>100</v>
      </c>
    </row>
    <row r="31" spans="1:20" x14ac:dyDescent="0.3">
      <c r="A31" s="325" t="s">
        <v>39</v>
      </c>
      <c r="B31" s="322"/>
      <c r="C31" s="322"/>
      <c r="D31" s="322"/>
      <c r="E31" s="322"/>
      <c r="F31" s="322"/>
      <c r="G31" s="326"/>
      <c r="I31" s="326"/>
      <c r="K31" s="326"/>
      <c r="L31" s="326"/>
      <c r="M31" s="327"/>
      <c r="N31" s="328"/>
      <c r="O31" s="329"/>
      <c r="P31" s="330"/>
      <c r="T31" s="271">
        <v>100</v>
      </c>
    </row>
    <row r="32" spans="1:20" x14ac:dyDescent="0.3">
      <c r="A32" s="325" t="s">
        <v>40</v>
      </c>
      <c r="B32" s="322"/>
      <c r="C32" s="322"/>
      <c r="D32" s="322"/>
      <c r="E32" s="322"/>
      <c r="F32" s="322"/>
      <c r="G32" s="326"/>
      <c r="I32" s="326"/>
      <c r="K32" s="326"/>
      <c r="L32" s="326"/>
      <c r="M32" s="327"/>
      <c r="N32" s="328"/>
      <c r="O32" s="329"/>
      <c r="P32" s="331"/>
      <c r="T32" s="271">
        <v>95</v>
      </c>
    </row>
    <row r="33" spans="1:20" x14ac:dyDescent="0.3">
      <c r="A33" s="325" t="s">
        <v>41</v>
      </c>
      <c r="B33" s="322"/>
      <c r="C33" s="322"/>
      <c r="D33" s="322"/>
      <c r="E33" s="322"/>
      <c r="F33" s="322"/>
      <c r="G33" s="326"/>
      <c r="I33" s="326"/>
      <c r="K33" s="326"/>
      <c r="L33" s="326"/>
      <c r="M33" s="327"/>
      <c r="N33" s="328"/>
      <c r="O33" s="329"/>
      <c r="P33" s="331"/>
      <c r="T33" s="271">
        <v>50</v>
      </c>
    </row>
    <row r="34" spans="1:20" x14ac:dyDescent="0.3">
      <c r="A34" s="325" t="s">
        <v>42</v>
      </c>
      <c r="B34" s="322"/>
      <c r="C34" s="322"/>
      <c r="D34" s="322"/>
      <c r="E34" s="322"/>
      <c r="F34" s="322"/>
      <c r="G34" s="326"/>
      <c r="I34" s="326"/>
      <c r="K34" s="326"/>
      <c r="L34" s="326"/>
      <c r="M34" s="327"/>
      <c r="N34" s="328"/>
      <c r="O34" s="329"/>
      <c r="P34" s="331"/>
      <c r="T34" s="271">
        <v>30</v>
      </c>
    </row>
    <row r="35" spans="1:20" x14ac:dyDescent="0.3">
      <c r="A35" s="325" t="s">
        <v>43</v>
      </c>
      <c r="B35" s="322"/>
      <c r="C35" s="322"/>
      <c r="D35" s="322"/>
      <c r="E35" s="322"/>
      <c r="F35" s="322"/>
      <c r="G35" s="326"/>
      <c r="I35" s="326"/>
      <c r="K35" s="326"/>
      <c r="L35" s="326"/>
      <c r="M35" s="327"/>
      <c r="N35" s="328"/>
      <c r="O35" s="329"/>
      <c r="P35" s="331"/>
      <c r="T35" s="271">
        <v>5</v>
      </c>
    </row>
    <row r="36" spans="1:20" x14ac:dyDescent="0.3">
      <c r="A36" s="325" t="s">
        <v>44</v>
      </c>
      <c r="B36" s="322"/>
      <c r="C36" s="322"/>
      <c r="D36" s="322"/>
      <c r="E36" s="322"/>
      <c r="F36" s="322"/>
      <c r="G36" s="326"/>
      <c r="I36" s="326"/>
      <c r="K36" s="326"/>
      <c r="L36" s="326"/>
      <c r="M36" s="327"/>
      <c r="N36" s="328"/>
      <c r="O36" s="329"/>
      <c r="P36" s="331"/>
      <c r="T36" s="271">
        <v>0</v>
      </c>
    </row>
    <row r="37" spans="1:20" x14ac:dyDescent="0.3">
      <c r="A37" s="325" t="s">
        <v>45</v>
      </c>
      <c r="B37" s="322"/>
      <c r="C37" s="322"/>
      <c r="D37" s="322"/>
      <c r="E37" s="322"/>
      <c r="F37" s="322"/>
      <c r="G37" s="326"/>
      <c r="I37" s="326"/>
      <c r="K37" s="326"/>
      <c r="L37" s="326"/>
      <c r="M37" s="327"/>
      <c r="N37" s="328"/>
      <c r="O37" s="329"/>
      <c r="P37" s="331"/>
      <c r="T37" s="271">
        <v>0</v>
      </c>
    </row>
    <row r="38" spans="1:20" ht="16.2" thickBot="1" x14ac:dyDescent="0.35">
      <c r="A38" s="332" t="s">
        <v>46</v>
      </c>
      <c r="B38" s="333"/>
      <c r="C38" s="333"/>
      <c r="D38" s="333"/>
      <c r="E38" s="333"/>
      <c r="F38" s="333"/>
      <c r="G38" s="326"/>
      <c r="I38" s="326"/>
      <c r="K38" s="326"/>
      <c r="L38" s="326"/>
      <c r="M38" s="327"/>
      <c r="N38" s="328"/>
      <c r="O38" s="329"/>
      <c r="P38" s="331"/>
      <c r="T38" s="271">
        <v>0</v>
      </c>
    </row>
    <row r="39" spans="1:20" ht="47.4" thickBot="1" x14ac:dyDescent="0.35">
      <c r="A39" s="334" t="s">
        <v>254</v>
      </c>
      <c r="B39" s="580"/>
      <c r="C39" s="581"/>
      <c r="D39" s="580"/>
      <c r="E39" s="335"/>
      <c r="F39" s="335"/>
      <c r="G39" s="326"/>
      <c r="I39" s="326"/>
      <c r="K39" s="326"/>
      <c r="L39" s="326"/>
      <c r="M39" s="327"/>
      <c r="N39" s="328"/>
      <c r="O39" s="329"/>
      <c r="P39" s="331"/>
    </row>
    <row r="40" spans="1:20" ht="16.2" thickBot="1" x14ac:dyDescent="0.35">
      <c r="A40" s="1049" t="s">
        <v>188</v>
      </c>
      <c r="B40" s="1050"/>
      <c r="C40" s="336">
        <f>ROUND('5 Agg Analysis'!AH21,2)</f>
        <v>0</v>
      </c>
      <c r="G40" s="326"/>
      <c r="I40" s="326"/>
      <c r="K40" s="326"/>
      <c r="L40" s="326"/>
      <c r="M40" s="327"/>
      <c r="N40" s="328"/>
      <c r="O40" s="329"/>
      <c r="P40" s="337"/>
      <c r="T40" s="271">
        <v>0</v>
      </c>
    </row>
    <row r="41" spans="1:20" ht="16.2" thickBot="1" x14ac:dyDescent="0.35">
      <c r="A41" s="1049" t="s">
        <v>189</v>
      </c>
      <c r="B41" s="1050"/>
      <c r="C41" s="336">
        <f>ROUND('5 Agg Analysis'!AI21,2)</f>
        <v>0</v>
      </c>
      <c r="G41" s="326"/>
      <c r="I41" s="302"/>
      <c r="K41" s="326"/>
      <c r="L41" s="291"/>
      <c r="N41" s="338"/>
    </row>
    <row r="42" spans="1:20" x14ac:dyDescent="0.3">
      <c r="A42" s="339"/>
      <c r="H42" s="340"/>
      <c r="K42" s="326"/>
      <c r="L42" s="340"/>
      <c r="P42" s="275"/>
      <c r="Q42" s="275"/>
    </row>
    <row r="43" spans="1:20" x14ac:dyDescent="0.3">
      <c r="A43" s="339"/>
      <c r="G43" s="341"/>
      <c r="H43" s="340"/>
      <c r="K43" s="326"/>
      <c r="L43" s="340"/>
      <c r="P43" s="275"/>
      <c r="Q43" s="275"/>
    </row>
    <row r="44" spans="1:20" x14ac:dyDescent="0.3">
      <c r="A44" s="339"/>
      <c r="E44" s="342"/>
      <c r="F44" s="290"/>
      <c r="G44" s="341"/>
      <c r="K44" s="326"/>
      <c r="P44" s="275"/>
      <c r="Q44" s="275"/>
    </row>
    <row r="45" spans="1:20" x14ac:dyDescent="0.3">
      <c r="A45" s="339"/>
      <c r="E45" s="342"/>
      <c r="F45" s="290"/>
      <c r="G45" s="341"/>
      <c r="P45" s="275"/>
      <c r="Q45" s="275"/>
    </row>
    <row r="46" spans="1:20" ht="15.6" customHeight="1" x14ac:dyDescent="0.3"/>
    <row r="47" spans="1:20" s="309" customFormat="1" ht="15.6" customHeight="1" x14ac:dyDescent="0.3">
      <c r="I47" s="343"/>
    </row>
    <row r="48" spans="1:20" s="309" customFormat="1" x14ac:dyDescent="0.3">
      <c r="M48" s="344"/>
      <c r="N48" s="344"/>
    </row>
    <row r="49" spans="1:13" s="309" customFormat="1" x14ac:dyDescent="0.3"/>
    <row r="50" spans="1:13" s="309" customFormat="1" x14ac:dyDescent="0.3">
      <c r="B50" s="316"/>
      <c r="C50" s="316"/>
      <c r="D50" s="316"/>
      <c r="E50" s="316"/>
      <c r="F50" s="345"/>
      <c r="G50" s="316"/>
      <c r="H50" s="316"/>
    </row>
    <row r="51" spans="1:13" s="309" customFormat="1" x14ac:dyDescent="0.3">
      <c r="B51" s="316"/>
      <c r="C51" s="316"/>
      <c r="D51" s="316"/>
      <c r="E51" s="316"/>
      <c r="J51" s="346"/>
      <c r="K51" s="346"/>
      <c r="L51" s="346"/>
      <c r="M51" s="346"/>
    </row>
    <row r="52" spans="1:13" ht="16.2" customHeight="1" x14ac:dyDescent="0.3">
      <c r="J52" s="347"/>
      <c r="K52" s="347"/>
      <c r="L52" s="1051"/>
    </row>
    <row r="53" spans="1:13" ht="36" customHeight="1" x14ac:dyDescent="0.3">
      <c r="J53" s="348"/>
      <c r="K53" s="349"/>
      <c r="L53" s="1051"/>
    </row>
    <row r="54" spans="1:13" x14ac:dyDescent="0.3">
      <c r="B54" s="290"/>
      <c r="C54" s="290"/>
      <c r="J54" s="331"/>
      <c r="K54" s="350"/>
    </row>
    <row r="55" spans="1:13" x14ac:dyDescent="0.3">
      <c r="A55" s="339"/>
      <c r="J55" s="331"/>
      <c r="K55" s="350"/>
    </row>
    <row r="56" spans="1:13" x14ac:dyDescent="0.3">
      <c r="A56" s="302"/>
      <c r="B56" s="302"/>
      <c r="C56" s="351"/>
      <c r="J56" s="331"/>
      <c r="K56" s="350"/>
    </row>
    <row r="57" spans="1:13" x14ac:dyDescent="0.3">
      <c r="A57" s="351"/>
      <c r="B57" s="302"/>
      <c r="C57" s="351"/>
      <c r="J57" s="331"/>
      <c r="K57" s="350"/>
    </row>
    <row r="58" spans="1:13" x14ac:dyDescent="0.3">
      <c r="J58" s="331"/>
      <c r="K58" s="350"/>
    </row>
    <row r="59" spans="1:13" x14ac:dyDescent="0.3">
      <c r="J59" s="331"/>
      <c r="K59" s="350"/>
    </row>
    <row r="60" spans="1:13" x14ac:dyDescent="0.3">
      <c r="J60" s="331"/>
      <c r="K60" s="350"/>
    </row>
    <row r="61" spans="1:13" x14ac:dyDescent="0.3">
      <c r="J61" s="331"/>
      <c r="K61" s="350"/>
    </row>
    <row r="62" spans="1:13" x14ac:dyDescent="0.3">
      <c r="J62" s="331"/>
      <c r="K62" s="350"/>
    </row>
    <row r="63" spans="1:13" x14ac:dyDescent="0.3">
      <c r="J63" s="331"/>
      <c r="K63" s="350"/>
    </row>
    <row r="64" spans="1:13" x14ac:dyDescent="0.3">
      <c r="J64" s="331"/>
      <c r="K64" s="350"/>
    </row>
    <row r="65" spans="2:11" x14ac:dyDescent="0.3">
      <c r="J65" s="331"/>
      <c r="K65" s="350"/>
    </row>
    <row r="66" spans="2:11" x14ac:dyDescent="0.3">
      <c r="J66" s="331"/>
      <c r="K66" s="350"/>
    </row>
    <row r="78" spans="2:11" x14ac:dyDescent="0.3">
      <c r="B78" s="339"/>
      <c r="C78" s="352"/>
    </row>
    <row r="79" spans="2:11" x14ac:dyDescent="0.3">
      <c r="C79" s="352"/>
    </row>
    <row r="117" spans="4:6" x14ac:dyDescent="0.3">
      <c r="E117" s="353"/>
      <c r="F117" s="354"/>
    </row>
    <row r="118" spans="4:6" x14ac:dyDescent="0.3">
      <c r="E118" s="353"/>
      <c r="F118" s="354"/>
    </row>
    <row r="119" spans="4:6" x14ac:dyDescent="0.3">
      <c r="E119" s="353"/>
      <c r="F119" s="354"/>
    </row>
    <row r="120" spans="4:6" x14ac:dyDescent="0.3">
      <c r="E120" s="353"/>
      <c r="F120" s="354"/>
    </row>
    <row r="121" spans="4:6" x14ac:dyDescent="0.3">
      <c r="D121" s="355"/>
      <c r="E121" s="353"/>
      <c r="F121" s="354"/>
    </row>
    <row r="122" spans="4:6" x14ac:dyDescent="0.3">
      <c r="D122" s="355"/>
      <c r="E122" s="353"/>
      <c r="F122" s="354"/>
    </row>
    <row r="123" spans="4:6" x14ac:dyDescent="0.3">
      <c r="D123" s="355"/>
      <c r="E123" s="353"/>
      <c r="F123" s="354"/>
    </row>
    <row r="124" spans="4:6" x14ac:dyDescent="0.3">
      <c r="D124" s="355"/>
    </row>
    <row r="125" spans="4:6" x14ac:dyDescent="0.3">
      <c r="D125" s="355"/>
    </row>
    <row r="126" spans="4:6" x14ac:dyDescent="0.3">
      <c r="D126" s="355"/>
    </row>
    <row r="127" spans="4:6" x14ac:dyDescent="0.3">
      <c r="D127" s="355"/>
    </row>
    <row r="132" spans="2:4" x14ac:dyDescent="0.3">
      <c r="B132" s="356"/>
      <c r="C132" s="357"/>
      <c r="D132" s="357"/>
    </row>
    <row r="133" spans="2:4" x14ac:dyDescent="0.3">
      <c r="B133" s="356"/>
      <c r="C133" s="357"/>
      <c r="D133" s="357"/>
    </row>
    <row r="134" spans="2:4" x14ac:dyDescent="0.3">
      <c r="B134" s="356"/>
      <c r="C134" s="357"/>
      <c r="D134" s="357"/>
    </row>
    <row r="135" spans="2:4" x14ac:dyDescent="0.3">
      <c r="B135" s="356"/>
      <c r="C135" s="357"/>
      <c r="D135" s="357"/>
    </row>
    <row r="136" spans="2:4" x14ac:dyDescent="0.3">
      <c r="B136" s="356"/>
      <c r="C136" s="357"/>
      <c r="D136" s="357"/>
    </row>
    <row r="137" spans="2:4" x14ac:dyDescent="0.3">
      <c r="B137" s="356"/>
      <c r="C137" s="357"/>
      <c r="D137" s="357"/>
    </row>
    <row r="138" spans="2:4" x14ac:dyDescent="0.3">
      <c r="B138" s="356"/>
      <c r="C138" s="358"/>
      <c r="D138" s="352"/>
    </row>
    <row r="139" spans="2:4" x14ac:dyDescent="0.3">
      <c r="C139" s="358"/>
      <c r="D139" s="352"/>
    </row>
    <row r="140" spans="2:4" x14ac:dyDescent="0.3">
      <c r="C140" s="358"/>
      <c r="D140" s="352"/>
    </row>
    <row r="141" spans="2:4" x14ac:dyDescent="0.3">
      <c r="C141" s="358"/>
      <c r="D141" s="352"/>
    </row>
    <row r="142" spans="2:4" x14ac:dyDescent="0.3">
      <c r="C142" s="358"/>
      <c r="D142" s="352"/>
    </row>
    <row r="143" spans="2:4" x14ac:dyDescent="0.3">
      <c r="C143" s="358"/>
      <c r="D143" s="352"/>
    </row>
    <row r="144" spans="2:4" x14ac:dyDescent="0.3">
      <c r="C144" s="358"/>
      <c r="D144" s="352"/>
    </row>
    <row r="145" spans="3:16" x14ac:dyDescent="0.3">
      <c r="C145" s="358"/>
      <c r="D145" s="352"/>
      <c r="E145" s="359"/>
    </row>
    <row r="146" spans="3:16" x14ac:dyDescent="0.3">
      <c r="C146" s="358"/>
      <c r="D146" s="352"/>
      <c r="E146" s="359"/>
      <c r="O146" s="359"/>
      <c r="P146" s="339"/>
    </row>
    <row r="147" spans="3:16" x14ac:dyDescent="0.3">
      <c r="C147" s="358"/>
      <c r="D147" s="352"/>
      <c r="E147" s="359"/>
      <c r="O147" s="359"/>
      <c r="P147" s="339"/>
    </row>
    <row r="148" spans="3:16" x14ac:dyDescent="0.3">
      <c r="E148" s="359"/>
      <c r="O148" s="359"/>
      <c r="P148" s="339"/>
    </row>
    <row r="149" spans="3:16" x14ac:dyDescent="0.3">
      <c r="E149" s="359"/>
      <c r="O149" s="359"/>
      <c r="P149" s="339"/>
    </row>
    <row r="150" spans="3:16" x14ac:dyDescent="0.3">
      <c r="D150" s="339"/>
      <c r="E150" s="359"/>
      <c r="O150" s="359"/>
      <c r="P150" s="339"/>
    </row>
    <row r="151" spans="3:16" x14ac:dyDescent="0.3">
      <c r="D151" s="339"/>
      <c r="E151" s="359"/>
      <c r="O151" s="359"/>
      <c r="P151" s="339"/>
    </row>
    <row r="152" spans="3:16" x14ac:dyDescent="0.3">
      <c r="D152" s="339"/>
      <c r="O152" s="359"/>
      <c r="P152" s="339"/>
    </row>
    <row r="153" spans="3:16" x14ac:dyDescent="0.3">
      <c r="D153" s="339"/>
    </row>
    <row r="154" spans="3:16" x14ac:dyDescent="0.3">
      <c r="D154" s="339"/>
    </row>
    <row r="155" spans="3:16" x14ac:dyDescent="0.3">
      <c r="D155" s="339"/>
      <c r="N155" s="360"/>
      <c r="O155" s="360"/>
    </row>
    <row r="156" spans="3:16" x14ac:dyDescent="0.3">
      <c r="D156" s="339"/>
      <c r="N156" s="350"/>
      <c r="O156" s="350"/>
    </row>
    <row r="157" spans="3:16" x14ac:dyDescent="0.3">
      <c r="D157" s="339"/>
    </row>
    <row r="158" spans="3:16" x14ac:dyDescent="0.3">
      <c r="D158" s="339"/>
    </row>
    <row r="159" spans="3:16" x14ac:dyDescent="0.3">
      <c r="D159" s="339"/>
    </row>
    <row r="160" spans="3:16" x14ac:dyDescent="0.3">
      <c r="D160" s="339"/>
    </row>
    <row r="161" spans="4:5" x14ac:dyDescent="0.3">
      <c r="D161" s="339"/>
    </row>
    <row r="162" spans="4:5" x14ac:dyDescent="0.3">
      <c r="D162" s="339"/>
    </row>
    <row r="176" spans="4:5" x14ac:dyDescent="0.3">
      <c r="E176" s="352"/>
    </row>
    <row r="177" spans="5:5" x14ac:dyDescent="0.3">
      <c r="E177" s="352"/>
    </row>
    <row r="178" spans="5:5" x14ac:dyDescent="0.3">
      <c r="E178" s="352"/>
    </row>
    <row r="179" spans="5:5" x14ac:dyDescent="0.3">
      <c r="E179" s="352"/>
    </row>
    <row r="180" spans="5:5" x14ac:dyDescent="0.3">
      <c r="E180" s="352"/>
    </row>
    <row r="181" spans="5:5" x14ac:dyDescent="0.3">
      <c r="E181" s="352"/>
    </row>
    <row r="182" spans="5:5" x14ac:dyDescent="0.3">
      <c r="E182" s="352"/>
    </row>
    <row r="183" spans="5:5" x14ac:dyDescent="0.3">
      <c r="E183" s="352"/>
    </row>
    <row r="184" spans="5:5" x14ac:dyDescent="0.3">
      <c r="E184" s="352"/>
    </row>
    <row r="185" spans="5:5" x14ac:dyDescent="0.3">
      <c r="E185" s="352"/>
    </row>
    <row r="186" spans="5:5" x14ac:dyDescent="0.3">
      <c r="E186" s="352"/>
    </row>
  </sheetData>
  <sheetProtection selectLockedCells="1"/>
  <mergeCells count="39">
    <mergeCell ref="A1:D1"/>
    <mergeCell ref="E1:I1"/>
    <mergeCell ref="B16:C16"/>
    <mergeCell ref="B17:C17"/>
    <mergeCell ref="D13:E13"/>
    <mergeCell ref="D14:E14"/>
    <mergeCell ref="D15:E15"/>
    <mergeCell ref="D16:E16"/>
    <mergeCell ref="D17:E17"/>
    <mergeCell ref="B15:C15"/>
    <mergeCell ref="A7:D7"/>
    <mergeCell ref="E7:I7"/>
    <mergeCell ref="A5:B5"/>
    <mergeCell ref="C5:D5"/>
    <mergeCell ref="E5:G5"/>
    <mergeCell ref="H5:I5"/>
    <mergeCell ref="B13:C13"/>
    <mergeCell ref="A6:D6"/>
    <mergeCell ref="E6:I6"/>
    <mergeCell ref="A4:B4"/>
    <mergeCell ref="C4:D4"/>
    <mergeCell ref="E4:G4"/>
    <mergeCell ref="H4:I4"/>
    <mergeCell ref="B14:C14"/>
    <mergeCell ref="A2:I2"/>
    <mergeCell ref="A3:G3"/>
    <mergeCell ref="A41:B41"/>
    <mergeCell ref="L52:L53"/>
    <mergeCell ref="A8:D8"/>
    <mergeCell ref="E8:I8"/>
    <mergeCell ref="A9:D9"/>
    <mergeCell ref="E9:I9"/>
    <mergeCell ref="A19:B19"/>
    <mergeCell ref="A40:B40"/>
    <mergeCell ref="J11:K11"/>
    <mergeCell ref="A21:F21"/>
    <mergeCell ref="A11:I11"/>
    <mergeCell ref="B12:C12"/>
    <mergeCell ref="D12:E12"/>
  </mergeCells>
  <phoneticPr fontId="22" type="noConversion"/>
  <printOptions horizontalCentered="1"/>
  <pageMargins left="0.25" right="0.25" top="0.5" bottom="0.5" header="0.3" footer="0.3"/>
  <pageSetup scale="71" orientation="landscape" r:id="rId1"/>
  <headerFooter>
    <oddFooter>&amp;L&amp;9&amp;A&amp;C&amp;9&amp;P of &amp;N&amp;R&amp;9&amp;F</oddFooter>
  </headerFooter>
  <rowBreaks count="1" manualBreakCount="1">
    <brk id="46" max="11" man="1"/>
  </rowBreaks>
  <colBreaks count="1" manualBreakCount="1">
    <brk id="12" max="1048575" man="1"/>
  </col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2ECE-98C3-47ED-90F6-77A86BFE0E2F}">
  <dimension ref="A1:T171"/>
  <sheetViews>
    <sheetView showGridLines="0" zoomScale="80" zoomScaleNormal="80" zoomScaleSheetLayoutView="70" workbookViewId="0">
      <selection activeCell="B13" sqref="B13"/>
    </sheetView>
  </sheetViews>
  <sheetFormatPr defaultColWidth="9.33203125" defaultRowHeight="15.6" x14ac:dyDescent="0.3"/>
  <cols>
    <col min="1" max="1" width="29.6640625" style="361" customWidth="1"/>
    <col min="2" max="2" width="26.33203125" style="361" customWidth="1"/>
    <col min="3" max="3" width="20.5546875" style="361" customWidth="1"/>
    <col min="4" max="4" width="18.5546875" style="361" customWidth="1"/>
    <col min="5" max="5" width="16.6640625" style="361" customWidth="1"/>
    <col min="6" max="6" width="17.6640625" style="361" customWidth="1"/>
    <col min="7" max="7" width="17.5546875" style="361" customWidth="1"/>
    <col min="8" max="9" width="13.6640625" style="361" customWidth="1"/>
    <col min="10" max="10" width="12.6640625" style="361" bestFit="1" customWidth="1"/>
    <col min="11" max="11" width="9.33203125" style="361" bestFit="1" customWidth="1"/>
    <col min="12" max="12" width="14" style="361" customWidth="1"/>
    <col min="13" max="13" width="11.6640625" style="361" customWidth="1"/>
    <col min="14" max="14" width="9.33203125" style="361" bestFit="1" customWidth="1"/>
    <col min="15" max="15" width="11.5546875" style="361" customWidth="1"/>
    <col min="16" max="16" width="9.33203125" style="361"/>
    <col min="17" max="18" width="9.33203125" style="361" bestFit="1" customWidth="1"/>
    <col min="19" max="16384" width="9.33203125" style="361"/>
  </cols>
  <sheetData>
    <row r="1" spans="1:16" x14ac:dyDescent="0.3">
      <c r="A1" s="799" t="s">
        <v>389</v>
      </c>
      <c r="B1" s="800"/>
      <c r="C1" s="800"/>
      <c r="D1" s="800"/>
      <c r="E1" s="801" t="s">
        <v>387</v>
      </c>
      <c r="F1" s="801"/>
      <c r="G1" s="801"/>
      <c r="H1" s="801"/>
      <c r="I1" s="802"/>
    </row>
    <row r="2" spans="1:16" x14ac:dyDescent="0.3">
      <c r="A2" s="803" t="str">
        <f>Directions!A2</f>
        <v>DT2220     07/2022</v>
      </c>
      <c r="B2" s="804"/>
      <c r="C2" s="804"/>
      <c r="D2" s="804"/>
      <c r="E2" s="804"/>
      <c r="F2" s="804"/>
      <c r="G2" s="804"/>
      <c r="H2" s="804"/>
      <c r="I2" s="805"/>
    </row>
    <row r="3" spans="1:16" ht="15.6" customHeight="1" x14ac:dyDescent="0.3">
      <c r="A3" s="728" t="s">
        <v>15</v>
      </c>
      <c r="B3" s="729"/>
      <c r="C3" s="729"/>
      <c r="D3" s="729"/>
      <c r="E3" s="729"/>
      <c r="F3" s="729"/>
      <c r="G3" s="730"/>
      <c r="H3" s="576" t="s">
        <v>399</v>
      </c>
      <c r="I3" s="577">
        <f>'1 Certification'!H22</f>
        <v>0</v>
      </c>
    </row>
    <row r="4" spans="1:16" x14ac:dyDescent="0.3">
      <c r="A4" s="733" t="s">
        <v>16</v>
      </c>
      <c r="B4" s="734"/>
      <c r="C4" s="734" t="s">
        <v>17</v>
      </c>
      <c r="D4" s="734"/>
      <c r="E4" s="735" t="s">
        <v>18</v>
      </c>
      <c r="F4" s="736"/>
      <c r="G4" s="736"/>
      <c r="H4" s="725" t="s">
        <v>19</v>
      </c>
      <c r="I4" s="727"/>
    </row>
    <row r="5" spans="1:16" x14ac:dyDescent="0.3">
      <c r="A5" s="728">
        <f>'1 Certification'!B5</f>
        <v>0</v>
      </c>
      <c r="B5" s="730"/>
      <c r="C5" s="731">
        <f>'1 Certification'!E5</f>
        <v>0</v>
      </c>
      <c r="D5" s="730"/>
      <c r="E5" s="737">
        <f>'1 Certification'!F5</f>
        <v>0</v>
      </c>
      <c r="F5" s="738"/>
      <c r="G5" s="738"/>
      <c r="H5" s="739">
        <f>'1 Certification'!H5</f>
        <v>0</v>
      </c>
      <c r="I5" s="740"/>
      <c r="O5" s="361" t="s">
        <v>2</v>
      </c>
    </row>
    <row r="6" spans="1:16" x14ac:dyDescent="0.3">
      <c r="A6" s="723" t="s">
        <v>20</v>
      </c>
      <c r="B6" s="724"/>
      <c r="C6" s="724"/>
      <c r="D6" s="724"/>
      <c r="E6" s="725" t="s">
        <v>21</v>
      </c>
      <c r="F6" s="726"/>
      <c r="G6" s="726"/>
      <c r="H6" s="726"/>
      <c r="I6" s="727"/>
    </row>
    <row r="7" spans="1:16" x14ac:dyDescent="0.3">
      <c r="A7" s="728">
        <f>'1 Certification'!B7</f>
        <v>0</v>
      </c>
      <c r="B7" s="729"/>
      <c r="C7" s="729"/>
      <c r="D7" s="730"/>
      <c r="E7" s="731">
        <f>'1 Certification'!F7</f>
        <v>0</v>
      </c>
      <c r="F7" s="729"/>
      <c r="G7" s="729"/>
      <c r="H7" s="729"/>
      <c r="I7" s="732"/>
    </row>
    <row r="8" spans="1:16" x14ac:dyDescent="0.3">
      <c r="A8" s="723" t="s">
        <v>22</v>
      </c>
      <c r="B8" s="724"/>
      <c r="C8" s="724"/>
      <c r="D8" s="724"/>
      <c r="E8" s="725" t="s">
        <v>311</v>
      </c>
      <c r="F8" s="726"/>
      <c r="G8" s="726"/>
      <c r="H8" s="726"/>
      <c r="I8" s="727"/>
    </row>
    <row r="9" spans="1:16" ht="16.2" thickBot="1" x14ac:dyDescent="0.35">
      <c r="A9" s="770">
        <f>'1 Certification'!B9</f>
        <v>0</v>
      </c>
      <c r="B9" s="771"/>
      <c r="C9" s="771"/>
      <c r="D9" s="771"/>
      <c r="E9" s="772">
        <f>'1 Certification'!F9</f>
        <v>0</v>
      </c>
      <c r="F9" s="773"/>
      <c r="G9" s="773"/>
      <c r="H9" s="773"/>
      <c r="I9" s="774"/>
    </row>
    <row r="10" spans="1:16" ht="15.6" customHeight="1" thickBot="1" x14ac:dyDescent="0.35">
      <c r="A10" s="362"/>
      <c r="B10" s="362"/>
      <c r="C10" s="362"/>
      <c r="D10" s="362"/>
      <c r="E10" s="362"/>
      <c r="F10" s="363"/>
      <c r="G10" s="362"/>
      <c r="H10" s="362"/>
      <c r="I10" s="362"/>
    </row>
    <row r="11" spans="1:16" ht="18.600000000000001" thickBot="1" x14ac:dyDescent="0.35">
      <c r="A11" s="767" t="s">
        <v>233</v>
      </c>
      <c r="B11" s="768"/>
      <c r="C11" s="768"/>
      <c r="D11" s="768"/>
      <c r="E11" s="769"/>
      <c r="F11" s="364"/>
      <c r="G11" s="365"/>
      <c r="H11" s="365"/>
      <c r="I11" s="365"/>
      <c r="J11" s="365"/>
      <c r="K11" s="365"/>
      <c r="L11" s="365"/>
      <c r="M11" s="365"/>
      <c r="N11" s="365"/>
      <c r="O11" s="365"/>
      <c r="P11" s="366"/>
    </row>
    <row r="12" spans="1:16" s="347" customFormat="1" ht="40.5" customHeight="1" thickBot="1" x14ac:dyDescent="0.35">
      <c r="A12" s="367"/>
      <c r="B12" s="368" t="s">
        <v>62</v>
      </c>
      <c r="C12" s="368" t="s">
        <v>63</v>
      </c>
      <c r="D12" s="369" t="s">
        <v>64</v>
      </c>
      <c r="E12" s="370" t="s">
        <v>65</v>
      </c>
      <c r="F12" s="371"/>
      <c r="G12" s="372"/>
      <c r="H12" s="373"/>
      <c r="I12" s="373"/>
      <c r="J12" s="373"/>
      <c r="K12" s="373"/>
      <c r="L12" s="373"/>
      <c r="M12" s="373"/>
      <c r="N12" s="373"/>
      <c r="O12" s="374"/>
    </row>
    <row r="13" spans="1:16" ht="15.6" customHeight="1" x14ac:dyDescent="0.3">
      <c r="A13" s="375" t="s">
        <v>66</v>
      </c>
      <c r="B13" s="376"/>
      <c r="C13" s="377"/>
      <c r="D13" s="376"/>
      <c r="E13" s="675"/>
      <c r="I13" s="365"/>
      <c r="J13" s="365"/>
      <c r="K13" s="365"/>
      <c r="L13" s="365"/>
      <c r="M13" s="365"/>
      <c r="O13" s="366"/>
      <c r="P13" s="366"/>
    </row>
    <row r="14" spans="1:16" ht="15.6" customHeight="1" x14ac:dyDescent="0.3">
      <c r="A14" s="378" t="s">
        <v>67</v>
      </c>
      <c r="B14" s="379"/>
      <c r="C14" s="380"/>
      <c r="D14" s="379"/>
      <c r="E14" s="381"/>
      <c r="F14" s="382"/>
      <c r="J14" s="365"/>
      <c r="K14" s="365"/>
      <c r="L14" s="365"/>
      <c r="M14" s="365"/>
      <c r="O14" s="366"/>
      <c r="P14" s="366"/>
    </row>
    <row r="15" spans="1:16" ht="15.6" customHeight="1" x14ac:dyDescent="0.3">
      <c r="A15" s="378" t="s">
        <v>68</v>
      </c>
      <c r="B15" s="379"/>
      <c r="C15" s="380"/>
      <c r="D15" s="379"/>
      <c r="E15" s="381"/>
      <c r="F15" s="382"/>
      <c r="J15" s="365"/>
      <c r="K15" s="365"/>
      <c r="L15" s="365"/>
      <c r="M15" s="365"/>
      <c r="O15" s="366"/>
      <c r="P15" s="366"/>
    </row>
    <row r="16" spans="1:16" ht="15.6" customHeight="1" x14ac:dyDescent="0.3">
      <c r="A16" s="378" t="s">
        <v>220</v>
      </c>
      <c r="B16" s="379"/>
      <c r="C16" s="380"/>
      <c r="D16" s="379"/>
      <c r="E16" s="381"/>
      <c r="F16" s="382"/>
      <c r="J16" s="365"/>
      <c r="K16" s="365"/>
      <c r="L16" s="365"/>
      <c r="M16" s="365"/>
      <c r="O16" s="366"/>
      <c r="P16" s="366"/>
    </row>
    <row r="17" spans="1:20" ht="15.6" customHeight="1" thickBot="1" x14ac:dyDescent="0.35">
      <c r="A17" s="383" t="s">
        <v>222</v>
      </c>
      <c r="B17" s="384"/>
      <c r="C17" s="385"/>
      <c r="D17" s="384"/>
      <c r="E17" s="386"/>
      <c r="J17" s="365"/>
      <c r="K17" s="365"/>
      <c r="L17" s="365"/>
      <c r="M17" s="365"/>
      <c r="O17" s="366"/>
      <c r="P17" s="366"/>
    </row>
    <row r="18" spans="1:20" ht="15.6" customHeight="1" thickBot="1" x14ac:dyDescent="0.35">
      <c r="A18" s="362"/>
      <c r="B18" s="387"/>
      <c r="C18" s="387"/>
      <c r="D18" s="365"/>
      <c r="E18" s="365"/>
      <c r="F18" s="1066" t="str">
        <f>Directions!N9</f>
        <v>Version 2.0</v>
      </c>
      <c r="G18" s="1066"/>
      <c r="H18" s="390"/>
      <c r="K18" s="391"/>
      <c r="L18" s="365"/>
      <c r="M18" s="365"/>
      <c r="N18" s="365"/>
      <c r="O18" s="365"/>
      <c r="P18" s="365"/>
      <c r="R18" s="366"/>
      <c r="S18" s="366"/>
    </row>
    <row r="19" spans="1:20" ht="15.6" customHeight="1" thickBot="1" x14ac:dyDescent="0.35">
      <c r="A19" s="767" t="s">
        <v>240</v>
      </c>
      <c r="B19" s="768"/>
      <c r="C19" s="768"/>
      <c r="D19" s="769"/>
      <c r="E19" s="346"/>
      <c r="F19" s="346"/>
      <c r="H19" s="389"/>
      <c r="I19" s="390"/>
      <c r="L19" s="391"/>
      <c r="M19" s="365"/>
      <c r="N19" s="365"/>
      <c r="O19" s="365"/>
      <c r="P19" s="365"/>
      <c r="Q19" s="365"/>
      <c r="S19" s="366"/>
      <c r="T19" s="366"/>
    </row>
    <row r="20" spans="1:20" x14ac:dyDescent="0.3">
      <c r="A20" s="1086" t="s">
        <v>241</v>
      </c>
      <c r="B20" s="1088" t="s">
        <v>243</v>
      </c>
      <c r="C20" s="1090" t="s">
        <v>305</v>
      </c>
      <c r="D20" s="777" t="s">
        <v>242</v>
      </c>
      <c r="E20" s="1069" t="str">
        <f>IF(AND(B17&gt;0,C17&gt;0,D17&gt;0,OR(A22=0,B22=0,C22=0,D22=0)),"PLEASE FILL TABLE","")</f>
        <v/>
      </c>
      <c r="F20" s="347"/>
      <c r="L20" s="391"/>
      <c r="M20" s="365"/>
      <c r="N20" s="365"/>
      <c r="O20" s="365"/>
      <c r="P20" s="365"/>
      <c r="Q20" s="365"/>
      <c r="S20" s="366"/>
      <c r="T20" s="366"/>
    </row>
    <row r="21" spans="1:20" x14ac:dyDescent="0.3">
      <c r="A21" s="1087"/>
      <c r="B21" s="1089"/>
      <c r="C21" s="1091"/>
      <c r="D21" s="1092"/>
      <c r="E21" s="1069"/>
      <c r="F21" s="392"/>
      <c r="L21" s="391"/>
      <c r="M21" s="365"/>
      <c r="N21" s="365"/>
      <c r="O21" s="365"/>
      <c r="P21" s="365"/>
      <c r="Q21" s="365"/>
      <c r="S21" s="366"/>
      <c r="T21" s="366"/>
    </row>
    <row r="22" spans="1:20" ht="16.2" thickBot="1" x14ac:dyDescent="0.35">
      <c r="A22" s="393"/>
      <c r="B22" s="394"/>
      <c r="C22" s="395"/>
      <c r="D22" s="394"/>
      <c r="H22" s="396"/>
      <c r="I22" s="390"/>
      <c r="J22" s="397"/>
      <c r="L22" s="391"/>
      <c r="M22" s="365"/>
      <c r="N22" s="365"/>
      <c r="O22" s="365"/>
      <c r="P22" s="365"/>
      <c r="Q22" s="365"/>
      <c r="S22" s="366"/>
      <c r="T22" s="366"/>
    </row>
    <row r="23" spans="1:20" ht="16.2" thickBot="1" x14ac:dyDescent="0.35">
      <c r="A23" s="373"/>
      <c r="B23" s="373"/>
      <c r="C23" s="373"/>
      <c r="D23" s="373"/>
      <c r="H23" s="396"/>
      <c r="I23" s="390"/>
      <c r="J23" s="397"/>
      <c r="L23" s="391"/>
      <c r="M23" s="365"/>
      <c r="N23" s="365"/>
      <c r="O23" s="365"/>
      <c r="P23" s="365"/>
      <c r="Q23" s="365"/>
      <c r="S23" s="366"/>
      <c r="T23" s="366"/>
    </row>
    <row r="24" spans="1:20" ht="16.2" thickBot="1" x14ac:dyDescent="0.35">
      <c r="A24" s="767" t="s">
        <v>307</v>
      </c>
      <c r="B24" s="768"/>
      <c r="C24" s="769"/>
      <c r="D24" s="373"/>
      <c r="H24" s="396"/>
      <c r="I24" s="390"/>
      <c r="J24" s="397"/>
      <c r="L24" s="391"/>
      <c r="M24" s="365"/>
      <c r="N24" s="365"/>
      <c r="O24" s="365"/>
      <c r="P24" s="365"/>
      <c r="Q24" s="365"/>
      <c r="S24" s="366"/>
      <c r="T24" s="366"/>
    </row>
    <row r="25" spans="1:20" ht="16.2" thickBot="1" x14ac:dyDescent="0.35">
      <c r="A25" s="1093" t="s">
        <v>277</v>
      </c>
      <c r="B25" s="1094"/>
      <c r="C25" s="398"/>
      <c r="I25" s="390"/>
      <c r="J25" s="397"/>
      <c r="L25" s="391"/>
      <c r="M25" s="365"/>
      <c r="N25" s="365"/>
      <c r="O25" s="365"/>
      <c r="P25" s="365"/>
      <c r="Q25" s="365"/>
      <c r="S25" s="366"/>
      <c r="T25" s="366"/>
    </row>
    <row r="26" spans="1:20" ht="16.2" thickBot="1" x14ac:dyDescent="0.35">
      <c r="A26" s="1093" t="s">
        <v>446</v>
      </c>
      <c r="B26" s="1094"/>
      <c r="C26" s="399"/>
      <c r="I26" s="390"/>
      <c r="J26" s="397"/>
      <c r="L26" s="391"/>
      <c r="M26" s="365"/>
      <c r="N26" s="365"/>
      <c r="O26" s="365"/>
      <c r="P26" s="365"/>
      <c r="Q26" s="365"/>
      <c r="S26" s="366"/>
      <c r="T26" s="366"/>
    </row>
    <row r="27" spans="1:20" ht="16.2" thickBot="1" x14ac:dyDescent="0.35">
      <c r="A27" s="1093" t="s">
        <v>450</v>
      </c>
      <c r="B27" s="1094"/>
      <c r="C27" s="400" t="str">
        <f>IF(C26="","CLASS ?",IF(C25="A",'5 Agg Analysis'!AC46,IF(C25="B",'5 Agg Analysis'!AC47,IF(C25="C",'5 Agg Analysis'!AC48,IF(C25="E",'5 Agg Analysis'!AC49,"GRADE ?")))))</f>
        <v>CLASS ?</v>
      </c>
      <c r="I27" s="390"/>
      <c r="J27" s="397"/>
      <c r="L27" s="391"/>
      <c r="M27" s="365"/>
      <c r="N27" s="365"/>
      <c r="O27" s="365"/>
      <c r="P27" s="365"/>
      <c r="Q27" s="365"/>
      <c r="S27" s="366"/>
      <c r="T27" s="366"/>
    </row>
    <row r="28" spans="1:20" ht="16.2" thickBot="1" x14ac:dyDescent="0.35">
      <c r="A28" s="1093" t="s">
        <v>427</v>
      </c>
      <c r="B28" s="1094"/>
      <c r="C28" s="400" t="str">
        <f>IF(AND(C25="C",C26="Class I: Pavement"),'5 Agg Analysis'!AE46,IF(AND(C25="C",C26="Class I: Barrier"),'5 Agg Analysis'!AE47,IF(C26="","CLASS ?",IF(AND(C25="A",C26="Class I: Pavement"),'5 Agg Analysis'!AE46,IF(AND(C25="A",C26="Class I: Barrier"),'5 Agg Analysis'!AE47,IF(C25="A",'5 Agg Analysis'!AD46,IF(C25="B",'5 Agg Analysis'!AD47,IF(C25="C",'5 Agg Analysis'!AD48,IF(C25="E",'5 Agg Analysis'!AD49,"GRADE ?")))))))))</f>
        <v>CLASS ?</v>
      </c>
      <c r="I28" s="390"/>
      <c r="J28" s="397"/>
      <c r="L28" s="391"/>
      <c r="M28" s="365"/>
      <c r="N28" s="365"/>
      <c r="O28" s="365"/>
      <c r="P28" s="365"/>
      <c r="Q28" s="365"/>
      <c r="S28" s="366"/>
      <c r="T28" s="366"/>
    </row>
    <row r="29" spans="1:20" ht="17.399999999999999" customHeight="1" x14ac:dyDescent="0.3">
      <c r="D29" s="347"/>
      <c r="E29" s="401"/>
      <c r="F29" s="401"/>
      <c r="G29" s="401"/>
      <c r="I29" s="390"/>
      <c r="M29" s="365"/>
      <c r="N29" s="365"/>
      <c r="O29" s="365"/>
      <c r="P29" s="365"/>
      <c r="Q29" s="365"/>
      <c r="S29" s="366"/>
      <c r="T29" s="366"/>
    </row>
    <row r="30" spans="1:20" ht="16.2" thickBot="1" x14ac:dyDescent="0.35">
      <c r="A30" s="362"/>
      <c r="C30" s="387"/>
      <c r="D30" s="387"/>
      <c r="E30" s="373"/>
      <c r="F30" s="402"/>
      <c r="G30" s="402"/>
      <c r="I30" s="390"/>
      <c r="M30" s="365"/>
      <c r="N30" s="365"/>
      <c r="O30" s="365"/>
      <c r="P30" s="365"/>
      <c r="Q30" s="365"/>
      <c r="S30" s="366"/>
      <c r="T30" s="366"/>
    </row>
    <row r="31" spans="1:20" ht="16.2" thickBot="1" x14ac:dyDescent="0.35">
      <c r="A31" s="767" t="s">
        <v>221</v>
      </c>
      <c r="B31" s="768"/>
      <c r="C31" s="769"/>
      <c r="D31" s="387"/>
      <c r="E31" s="373"/>
      <c r="F31" s="373"/>
      <c r="G31" s="373"/>
      <c r="I31" s="390"/>
      <c r="M31" s="365"/>
      <c r="N31" s="365"/>
      <c r="O31" s="365"/>
      <c r="P31" s="365"/>
      <c r="Q31" s="365"/>
      <c r="S31" s="366"/>
      <c r="T31" s="366"/>
    </row>
    <row r="32" spans="1:20" x14ac:dyDescent="0.3">
      <c r="A32" s="403" t="s">
        <v>282</v>
      </c>
      <c r="B32" s="404"/>
      <c r="C32" s="405" t="str">
        <f>IF(B32&gt;=C27,"PASS","FAIL")</f>
        <v>FAIL</v>
      </c>
      <c r="D32" s="387"/>
      <c r="E32" s="373"/>
      <c r="F32" s="373"/>
      <c r="G32" s="373"/>
      <c r="I32" s="390"/>
      <c r="M32" s="365"/>
      <c r="N32" s="365"/>
      <c r="O32" s="365"/>
      <c r="P32" s="365"/>
      <c r="Q32" s="365"/>
      <c r="S32" s="366"/>
      <c r="T32" s="366"/>
    </row>
    <row r="33" spans="1:20" x14ac:dyDescent="0.3">
      <c r="A33" s="406" t="s">
        <v>281</v>
      </c>
      <c r="B33" s="407"/>
      <c r="C33" s="405" t="str">
        <f>IF(B33="","w/cm ?",IF(B33&lt;=C28,"PASS","FAIL"))</f>
        <v>w/cm ?</v>
      </c>
      <c r="D33" s="387"/>
      <c r="E33" s="373"/>
      <c r="F33" s="373"/>
      <c r="G33" s="373"/>
      <c r="I33" s="390"/>
      <c r="M33" s="365"/>
      <c r="N33" s="365"/>
      <c r="O33" s="365"/>
      <c r="P33" s="365"/>
      <c r="Q33" s="365"/>
      <c r="S33" s="366"/>
      <c r="T33" s="366"/>
    </row>
    <row r="34" spans="1:20" x14ac:dyDescent="0.3">
      <c r="A34" s="406" t="s">
        <v>377</v>
      </c>
      <c r="B34" s="408"/>
      <c r="C34" s="409" t="str">
        <f>IF(OR(B34=0),"AIR ?","PASS")</f>
        <v>AIR ?</v>
      </c>
      <c r="D34" s="387"/>
      <c r="E34" s="373"/>
      <c r="F34" s="373"/>
      <c r="G34" s="373"/>
      <c r="I34" s="390"/>
      <c r="M34" s="365"/>
      <c r="N34" s="365"/>
      <c r="O34" s="365"/>
      <c r="P34" s="365"/>
      <c r="Q34" s="365"/>
      <c r="S34" s="366"/>
      <c r="T34" s="366"/>
    </row>
    <row r="35" spans="1:20" ht="16.2" thickBot="1" x14ac:dyDescent="0.35">
      <c r="A35" s="406" t="s">
        <v>175</v>
      </c>
      <c r="B35" s="407"/>
      <c r="C35" s="410" t="s">
        <v>176</v>
      </c>
      <c r="D35" s="387"/>
      <c r="E35" s="373"/>
      <c r="F35" s="373"/>
      <c r="G35" s="373"/>
      <c r="H35" s="396"/>
      <c r="I35" s="390"/>
      <c r="J35" s="397"/>
      <c r="L35" s="391"/>
      <c r="M35" s="365"/>
      <c r="N35" s="365"/>
      <c r="O35" s="365"/>
      <c r="P35" s="365"/>
      <c r="Q35" s="365"/>
      <c r="S35" s="366"/>
      <c r="T35" s="366"/>
    </row>
    <row r="36" spans="1:20" ht="16.2" thickBot="1" x14ac:dyDescent="0.35">
      <c r="A36" s="767" t="s">
        <v>291</v>
      </c>
      <c r="B36" s="768"/>
      <c r="C36" s="769"/>
      <c r="D36" s="387"/>
      <c r="E36" s="373"/>
      <c r="F36" s="373"/>
      <c r="G36" s="373"/>
      <c r="H36" s="396"/>
      <c r="I36" s="390"/>
      <c r="J36" s="397"/>
      <c r="L36" s="391"/>
      <c r="M36" s="365"/>
      <c r="N36" s="365"/>
      <c r="O36" s="365"/>
      <c r="P36" s="365"/>
      <c r="Q36" s="365"/>
      <c r="S36" s="366"/>
      <c r="T36" s="366"/>
    </row>
    <row r="37" spans="1:20" x14ac:dyDescent="0.3">
      <c r="A37" s="406" t="s">
        <v>67</v>
      </c>
      <c r="B37" s="411"/>
      <c r="C37" s="412" t="s">
        <v>292</v>
      </c>
      <c r="D37" s="413"/>
      <c r="E37" s="365"/>
      <c r="H37" s="396"/>
      <c r="I37" s="390"/>
      <c r="J37" s="397"/>
      <c r="L37" s="391"/>
      <c r="M37" s="365"/>
      <c r="N37" s="365"/>
      <c r="O37" s="365"/>
      <c r="P37" s="365"/>
      <c r="Q37" s="365"/>
      <c r="S37" s="366"/>
      <c r="T37" s="366"/>
    </row>
    <row r="38" spans="1:20" x14ac:dyDescent="0.3">
      <c r="A38" s="406" t="s">
        <v>70</v>
      </c>
      <c r="B38" s="411"/>
      <c r="C38" s="412" t="s">
        <v>292</v>
      </c>
      <c r="D38" s="387"/>
      <c r="E38" s="365"/>
      <c r="H38" s="396"/>
      <c r="I38" s="390"/>
      <c r="J38" s="397"/>
      <c r="L38" s="391"/>
      <c r="M38" s="365"/>
      <c r="N38" s="365"/>
      <c r="O38" s="365"/>
      <c r="P38" s="365"/>
      <c r="Q38" s="365"/>
      <c r="S38" s="366"/>
      <c r="T38" s="366"/>
    </row>
    <row r="39" spans="1:20" ht="15.6" customHeight="1" x14ac:dyDescent="0.3">
      <c r="A39" s="406" t="s">
        <v>220</v>
      </c>
      <c r="B39" s="411"/>
      <c r="C39" s="412" t="s">
        <v>292</v>
      </c>
      <c r="D39" s="387"/>
      <c r="E39" s="365"/>
    </row>
    <row r="40" spans="1:20" x14ac:dyDescent="0.3">
      <c r="A40" s="406" t="s">
        <v>222</v>
      </c>
      <c r="B40" s="411"/>
      <c r="C40" s="412" t="s">
        <v>292</v>
      </c>
      <c r="D40" s="387"/>
      <c r="E40" s="365"/>
    </row>
    <row r="41" spans="1:20" ht="16.2" thickBot="1" x14ac:dyDescent="0.35">
      <c r="A41" s="414" t="s">
        <v>223</v>
      </c>
      <c r="B41" s="415">
        <f>IF(SUM(B37:B40)&lt;=30,SUM(B37:B40),"ERROR: &gt;30%")</f>
        <v>0</v>
      </c>
      <c r="C41" s="416" t="s">
        <v>292</v>
      </c>
      <c r="D41" s="387"/>
      <c r="E41" s="365"/>
    </row>
    <row r="42" spans="1:20" ht="15.6" customHeight="1" thickBot="1" x14ac:dyDescent="0.35">
      <c r="A42" s="418"/>
      <c r="B42" s="413"/>
      <c r="C42" s="390"/>
      <c r="D42" s="387"/>
      <c r="E42" s="365"/>
      <c r="L42" s="419"/>
      <c r="M42" s="419"/>
      <c r="N42" s="419"/>
    </row>
    <row r="43" spans="1:20" ht="15.6" customHeight="1" thickBot="1" x14ac:dyDescent="0.35">
      <c r="A43" s="767" t="s">
        <v>71</v>
      </c>
      <c r="B43" s="768"/>
      <c r="C43" s="768"/>
      <c r="D43" s="768"/>
      <c r="E43" s="768"/>
      <c r="F43" s="768"/>
      <c r="G43" s="769"/>
      <c r="H43" s="1103" t="str">
        <f>IF(C45="Municipal","No Test Number Required",IF(AND(C45&lt;&gt;"Municipal",F45=""),"Test Number Required",""))</f>
        <v>Test Number Required</v>
      </c>
      <c r="I43" s="1104"/>
      <c r="L43" s="419"/>
      <c r="M43" s="419"/>
      <c r="N43" s="419"/>
    </row>
    <row r="44" spans="1:20" ht="15.6" customHeight="1" thickBot="1" x14ac:dyDescent="0.4">
      <c r="A44" s="422"/>
      <c r="B44" s="423" t="s">
        <v>72</v>
      </c>
      <c r="C44" s="420" t="s">
        <v>428</v>
      </c>
      <c r="D44" s="1080" t="s">
        <v>178</v>
      </c>
      <c r="E44" s="1080"/>
      <c r="F44" s="423" t="s">
        <v>179</v>
      </c>
      <c r="G44" s="424" t="s">
        <v>244</v>
      </c>
      <c r="H44" s="1103"/>
      <c r="I44" s="1104"/>
      <c r="L44" s="419"/>
      <c r="M44" s="419"/>
      <c r="N44" s="419"/>
    </row>
    <row r="45" spans="1:20" ht="16.2" thickBot="1" x14ac:dyDescent="0.35">
      <c r="A45" s="425" t="s">
        <v>73</v>
      </c>
      <c r="B45" s="426" t="str">
        <f>IF(ISNUMBER('4 Mix Design'!D26/8.34),'4 Mix Design'!D26/8.34,"")</f>
        <v/>
      </c>
      <c r="C45" s="398"/>
      <c r="D45" s="1081"/>
      <c r="E45" s="1082"/>
      <c r="F45" s="398"/>
      <c r="G45" s="427">
        <v>1</v>
      </c>
      <c r="H45" s="1103"/>
      <c r="I45" s="1104"/>
      <c r="J45" s="419"/>
      <c r="K45" s="419"/>
      <c r="L45" s="419"/>
      <c r="M45" s="419"/>
      <c r="N45" s="419"/>
    </row>
    <row r="46" spans="1:20" ht="15.6" customHeight="1" thickBot="1" x14ac:dyDescent="0.35">
      <c r="A46" s="645"/>
      <c r="D46" s="519"/>
      <c r="E46" s="432"/>
      <c r="F46" s="432"/>
      <c r="H46" s="419"/>
      <c r="I46" s="419"/>
      <c r="J46" s="419"/>
      <c r="K46" s="419"/>
      <c r="L46" s="419"/>
      <c r="M46" s="419"/>
      <c r="N46" s="419"/>
    </row>
    <row r="47" spans="1:20" ht="15.6" customHeight="1" thickBot="1" x14ac:dyDescent="0.35">
      <c r="A47" s="767" t="s">
        <v>74</v>
      </c>
      <c r="B47" s="768"/>
      <c r="C47" s="768"/>
      <c r="D47" s="768"/>
      <c r="E47" s="768"/>
      <c r="F47" s="768"/>
      <c r="G47" s="769"/>
      <c r="H47" s="419"/>
      <c r="I47" s="419"/>
      <c r="J47" s="419"/>
      <c r="K47" s="419"/>
      <c r="L47" s="419"/>
      <c r="M47" s="419"/>
      <c r="N47" s="419"/>
    </row>
    <row r="48" spans="1:20" ht="18.600000000000001" thickBot="1" x14ac:dyDescent="0.4">
      <c r="A48" s="428"/>
      <c r="B48" s="1083" t="s">
        <v>75</v>
      </c>
      <c r="C48" s="1084"/>
      <c r="D48" s="1067" t="s">
        <v>308</v>
      </c>
      <c r="E48" s="1068"/>
      <c r="F48" s="1083" t="s">
        <v>165</v>
      </c>
      <c r="G48" s="1085"/>
      <c r="H48" s="419"/>
      <c r="I48" s="419"/>
      <c r="J48" s="419"/>
      <c r="K48" s="419"/>
      <c r="L48" s="419"/>
      <c r="M48" s="419"/>
      <c r="N48" s="419"/>
    </row>
    <row r="49" spans="1:12" x14ac:dyDescent="0.3">
      <c r="A49" s="368">
        <v>1</v>
      </c>
      <c r="B49" s="1074"/>
      <c r="C49" s="1075"/>
      <c r="D49" s="1097"/>
      <c r="E49" s="1098"/>
      <c r="F49" s="1075"/>
      <c r="G49" s="1076"/>
      <c r="L49" s="421"/>
    </row>
    <row r="50" spans="1:12" x14ac:dyDescent="0.3">
      <c r="A50" s="429">
        <v>2</v>
      </c>
      <c r="B50" s="1077"/>
      <c r="C50" s="1078"/>
      <c r="D50" s="1099"/>
      <c r="E50" s="1100"/>
      <c r="F50" s="1078"/>
      <c r="G50" s="1079"/>
    </row>
    <row r="51" spans="1:12" x14ac:dyDescent="0.3">
      <c r="A51" s="429">
        <v>3</v>
      </c>
      <c r="B51" s="1077"/>
      <c r="C51" s="1078"/>
      <c r="D51" s="1099"/>
      <c r="E51" s="1100"/>
      <c r="F51" s="1078"/>
      <c r="G51" s="1079"/>
      <c r="H51" s="1070"/>
    </row>
    <row r="52" spans="1:12" ht="16.2" thickBot="1" x14ac:dyDescent="0.35">
      <c r="A52" s="430">
        <v>4</v>
      </c>
      <c r="B52" s="1071"/>
      <c r="C52" s="1072"/>
      <c r="D52" s="1101"/>
      <c r="E52" s="1102"/>
      <c r="F52" s="1072"/>
      <c r="G52" s="1073"/>
      <c r="H52" s="1070"/>
    </row>
    <row r="54" spans="1:12" x14ac:dyDescent="0.3">
      <c r="A54" s="365"/>
      <c r="B54" s="365"/>
      <c r="C54" s="365"/>
      <c r="D54" s="365"/>
    </row>
    <row r="61" spans="1:12" x14ac:dyDescent="0.3">
      <c r="F61" s="387"/>
      <c r="G61" s="388"/>
    </row>
    <row r="62" spans="1:12" x14ac:dyDescent="0.3">
      <c r="F62" s="387"/>
    </row>
    <row r="63" spans="1:12" x14ac:dyDescent="0.3">
      <c r="F63" s="387"/>
    </row>
    <row r="64" spans="1:12" x14ac:dyDescent="0.3">
      <c r="F64" s="387"/>
      <c r="G64" s="418"/>
    </row>
    <row r="65" spans="1:7" x14ac:dyDescent="0.3">
      <c r="F65" s="387"/>
      <c r="G65" s="418"/>
    </row>
    <row r="66" spans="1:7" x14ac:dyDescent="0.3">
      <c r="F66" s="365"/>
      <c r="G66" s="418"/>
    </row>
    <row r="67" spans="1:7" x14ac:dyDescent="0.3">
      <c r="F67" s="365"/>
      <c r="G67" s="418"/>
    </row>
    <row r="68" spans="1:7" x14ac:dyDescent="0.3">
      <c r="F68" s="365"/>
      <c r="G68" s="418"/>
    </row>
    <row r="69" spans="1:7" x14ac:dyDescent="0.3">
      <c r="F69" s="365"/>
      <c r="G69" s="418"/>
    </row>
    <row r="70" spans="1:7" x14ac:dyDescent="0.3">
      <c r="F70" s="365"/>
      <c r="G70" s="418"/>
    </row>
    <row r="71" spans="1:7" x14ac:dyDescent="0.3">
      <c r="F71" s="365"/>
      <c r="G71" s="418"/>
    </row>
    <row r="72" spans="1:7" x14ac:dyDescent="0.3">
      <c r="F72" s="365"/>
      <c r="G72" s="418"/>
    </row>
    <row r="73" spans="1:7" x14ac:dyDescent="0.3">
      <c r="F73" s="365"/>
      <c r="G73" s="418"/>
    </row>
    <row r="74" spans="1:7" x14ac:dyDescent="0.3">
      <c r="F74" s="365"/>
    </row>
    <row r="75" spans="1:7" x14ac:dyDescent="0.3">
      <c r="A75" s="362"/>
      <c r="B75" s="387"/>
      <c r="C75" s="387"/>
      <c r="D75" s="387"/>
      <c r="E75" s="365"/>
      <c r="F75" s="365"/>
      <c r="G75" s="418"/>
    </row>
    <row r="76" spans="1:7" ht="18" x14ac:dyDescent="0.35">
      <c r="G76" s="417"/>
    </row>
    <row r="77" spans="1:7" x14ac:dyDescent="0.3">
      <c r="G77" s="347"/>
    </row>
    <row r="83" spans="1:7" x14ac:dyDescent="0.3">
      <c r="A83" s="362"/>
      <c r="C83" s="431"/>
      <c r="D83" s="432"/>
      <c r="G83" s="419"/>
    </row>
    <row r="84" spans="1:7" x14ac:dyDescent="0.3">
      <c r="A84" s="401"/>
      <c r="C84" s="330"/>
      <c r="D84" s="432"/>
      <c r="G84" s="419"/>
    </row>
    <row r="85" spans="1:7" x14ac:dyDescent="0.3">
      <c r="A85" s="1096"/>
      <c r="B85" s="1096"/>
      <c r="C85" s="1096"/>
      <c r="D85" s="387"/>
      <c r="G85" s="419"/>
    </row>
    <row r="88" spans="1:7" x14ac:dyDescent="0.3">
      <c r="F88" s="1095"/>
      <c r="G88" s="1095"/>
    </row>
    <row r="89" spans="1:7" x14ac:dyDescent="0.3">
      <c r="F89" s="1095"/>
      <c r="G89" s="1095"/>
    </row>
    <row r="102" spans="4:6" x14ac:dyDescent="0.3">
      <c r="D102" s="433"/>
      <c r="E102" s="434"/>
    </row>
    <row r="103" spans="4:6" x14ac:dyDescent="0.3">
      <c r="D103" s="433"/>
      <c r="E103" s="434"/>
    </row>
    <row r="104" spans="4:6" x14ac:dyDescent="0.3">
      <c r="D104" s="433"/>
      <c r="E104" s="434"/>
    </row>
    <row r="105" spans="4:6" x14ac:dyDescent="0.3">
      <c r="D105" s="433"/>
      <c r="E105" s="434"/>
    </row>
    <row r="106" spans="4:6" x14ac:dyDescent="0.3">
      <c r="D106" s="433"/>
      <c r="E106" s="434"/>
      <c r="F106" s="435"/>
    </row>
    <row r="107" spans="4:6" x14ac:dyDescent="0.3">
      <c r="D107" s="433"/>
      <c r="E107" s="434"/>
      <c r="F107" s="435"/>
    </row>
    <row r="108" spans="4:6" x14ac:dyDescent="0.3">
      <c r="D108" s="433"/>
      <c r="E108" s="434"/>
      <c r="F108" s="435"/>
    </row>
    <row r="109" spans="4:6" x14ac:dyDescent="0.3">
      <c r="F109" s="435"/>
    </row>
    <row r="110" spans="4:6" x14ac:dyDescent="0.3">
      <c r="F110" s="435"/>
    </row>
    <row r="111" spans="4:6" x14ac:dyDescent="0.3">
      <c r="F111" s="435"/>
    </row>
    <row r="112" spans="4:6" x14ac:dyDescent="0.3">
      <c r="F112" s="435"/>
    </row>
    <row r="113" spans="2:4" x14ac:dyDescent="0.3">
      <c r="B113" s="436"/>
      <c r="C113" s="437"/>
      <c r="D113" s="437"/>
    </row>
    <row r="114" spans="2:4" x14ac:dyDescent="0.3">
      <c r="B114" s="436"/>
      <c r="C114" s="437"/>
      <c r="D114" s="437"/>
    </row>
    <row r="115" spans="2:4" x14ac:dyDescent="0.3">
      <c r="B115" s="436"/>
      <c r="C115" s="437"/>
      <c r="D115" s="437"/>
    </row>
    <row r="116" spans="2:4" x14ac:dyDescent="0.3">
      <c r="B116" s="436"/>
      <c r="C116" s="437"/>
      <c r="D116" s="437"/>
    </row>
    <row r="117" spans="2:4" x14ac:dyDescent="0.3">
      <c r="B117" s="436"/>
      <c r="C117" s="437"/>
      <c r="D117" s="437"/>
    </row>
    <row r="118" spans="2:4" x14ac:dyDescent="0.3">
      <c r="B118" s="436"/>
      <c r="C118" s="437"/>
      <c r="D118" s="437"/>
    </row>
    <row r="119" spans="2:4" x14ac:dyDescent="0.3">
      <c r="B119" s="436"/>
      <c r="C119" s="438"/>
      <c r="D119" s="439"/>
    </row>
    <row r="120" spans="2:4" x14ac:dyDescent="0.3">
      <c r="C120" s="438"/>
      <c r="D120" s="439"/>
    </row>
    <row r="121" spans="2:4" x14ac:dyDescent="0.3">
      <c r="C121" s="438"/>
      <c r="D121" s="439"/>
    </row>
    <row r="122" spans="2:4" x14ac:dyDescent="0.3">
      <c r="C122" s="438"/>
      <c r="D122" s="439"/>
    </row>
    <row r="123" spans="2:4" x14ac:dyDescent="0.3">
      <c r="C123" s="438"/>
      <c r="D123" s="439"/>
    </row>
    <row r="124" spans="2:4" x14ac:dyDescent="0.3">
      <c r="C124" s="438"/>
      <c r="D124" s="439"/>
    </row>
    <row r="125" spans="2:4" x14ac:dyDescent="0.3">
      <c r="C125" s="438"/>
      <c r="D125" s="439"/>
    </row>
    <row r="126" spans="2:4" x14ac:dyDescent="0.3">
      <c r="C126" s="438"/>
      <c r="D126" s="439"/>
    </row>
    <row r="127" spans="2:4" x14ac:dyDescent="0.3">
      <c r="C127" s="438"/>
      <c r="D127" s="439"/>
    </row>
    <row r="128" spans="2:4" x14ac:dyDescent="0.3">
      <c r="C128" s="438"/>
      <c r="D128" s="439"/>
    </row>
    <row r="130" spans="4:12" x14ac:dyDescent="0.3">
      <c r="E130" s="440"/>
    </row>
    <row r="131" spans="4:12" x14ac:dyDescent="0.3">
      <c r="D131" s="441"/>
      <c r="E131" s="440"/>
    </row>
    <row r="132" spans="4:12" x14ac:dyDescent="0.3">
      <c r="D132" s="441"/>
      <c r="E132" s="440"/>
    </row>
    <row r="133" spans="4:12" x14ac:dyDescent="0.3">
      <c r="D133" s="441"/>
      <c r="E133" s="440"/>
    </row>
    <row r="134" spans="4:12" x14ac:dyDescent="0.3">
      <c r="D134" s="441"/>
      <c r="E134" s="440"/>
    </row>
    <row r="135" spans="4:12" x14ac:dyDescent="0.3">
      <c r="D135" s="441"/>
      <c r="E135" s="440"/>
    </row>
    <row r="136" spans="4:12" x14ac:dyDescent="0.3">
      <c r="D136" s="441"/>
      <c r="E136" s="440"/>
      <c r="K136" s="440"/>
      <c r="L136" s="441"/>
    </row>
    <row r="137" spans="4:12" x14ac:dyDescent="0.3">
      <c r="D137" s="441"/>
      <c r="K137" s="440"/>
      <c r="L137" s="441"/>
    </row>
    <row r="138" spans="4:12" x14ac:dyDescent="0.3">
      <c r="D138" s="441"/>
      <c r="K138" s="440"/>
      <c r="L138" s="441"/>
    </row>
    <row r="139" spans="4:12" x14ac:dyDescent="0.3">
      <c r="D139" s="441"/>
      <c r="K139" s="440"/>
      <c r="L139" s="441"/>
    </row>
    <row r="140" spans="4:12" x14ac:dyDescent="0.3">
      <c r="D140" s="441"/>
      <c r="K140" s="440"/>
      <c r="L140" s="441"/>
    </row>
    <row r="141" spans="4:12" x14ac:dyDescent="0.3">
      <c r="D141" s="441"/>
      <c r="K141" s="440"/>
      <c r="L141" s="441"/>
    </row>
    <row r="142" spans="4:12" x14ac:dyDescent="0.3">
      <c r="D142" s="441"/>
      <c r="K142" s="440"/>
      <c r="L142" s="441"/>
    </row>
    <row r="143" spans="4:12" x14ac:dyDescent="0.3">
      <c r="D143" s="441"/>
    </row>
    <row r="145" spans="10:11" x14ac:dyDescent="0.3">
      <c r="J145" s="442"/>
      <c r="K145" s="442"/>
    </row>
    <row r="146" spans="10:11" x14ac:dyDescent="0.3">
      <c r="J146" s="329"/>
      <c r="K146" s="329"/>
    </row>
    <row r="161" spans="5:5" x14ac:dyDescent="0.3">
      <c r="E161" s="439"/>
    </row>
    <row r="162" spans="5:5" x14ac:dyDescent="0.3">
      <c r="E162" s="439"/>
    </row>
    <row r="163" spans="5:5" x14ac:dyDescent="0.3">
      <c r="E163" s="439"/>
    </row>
    <row r="164" spans="5:5" x14ac:dyDescent="0.3">
      <c r="E164" s="439"/>
    </row>
    <row r="165" spans="5:5" x14ac:dyDescent="0.3">
      <c r="E165" s="439"/>
    </row>
    <row r="166" spans="5:5" x14ac:dyDescent="0.3">
      <c r="E166" s="439"/>
    </row>
    <row r="167" spans="5:5" x14ac:dyDescent="0.3">
      <c r="E167" s="439"/>
    </row>
    <row r="168" spans="5:5" x14ac:dyDescent="0.3">
      <c r="E168" s="439"/>
    </row>
    <row r="169" spans="5:5" x14ac:dyDescent="0.3">
      <c r="E169" s="439"/>
    </row>
    <row r="170" spans="5:5" x14ac:dyDescent="0.3">
      <c r="E170" s="439"/>
    </row>
    <row r="171" spans="5:5" x14ac:dyDescent="0.3">
      <c r="E171" s="439"/>
    </row>
  </sheetData>
  <sheetProtection selectLockedCells="1"/>
  <mergeCells count="58">
    <mergeCell ref="H43:I45"/>
    <mergeCell ref="A1:D1"/>
    <mergeCell ref="E1:I1"/>
    <mergeCell ref="A2:I2"/>
    <mergeCell ref="A3:G3"/>
    <mergeCell ref="E8:I8"/>
    <mergeCell ref="A9:D9"/>
    <mergeCell ref="E9:I9"/>
    <mergeCell ref="A4:B4"/>
    <mergeCell ref="C4:D4"/>
    <mergeCell ref="E4:G4"/>
    <mergeCell ref="H4:I4"/>
    <mergeCell ref="A7:D7"/>
    <mergeCell ref="E7:I7"/>
    <mergeCell ref="A5:B5"/>
    <mergeCell ref="C5:D5"/>
    <mergeCell ref="E5:G5"/>
    <mergeCell ref="H5:I5"/>
    <mergeCell ref="A6:D6"/>
    <mergeCell ref="E6:I6"/>
    <mergeCell ref="A11:E11"/>
    <mergeCell ref="A8:D8"/>
    <mergeCell ref="F88:G89"/>
    <mergeCell ref="A85:C85"/>
    <mergeCell ref="D49:E49"/>
    <mergeCell ref="D50:E50"/>
    <mergeCell ref="D51:E51"/>
    <mergeCell ref="D52:E52"/>
    <mergeCell ref="F48:G48"/>
    <mergeCell ref="A47:G47"/>
    <mergeCell ref="A19:D19"/>
    <mergeCell ref="A20:A21"/>
    <mergeCell ref="B20:B21"/>
    <mergeCell ref="C20:C21"/>
    <mergeCell ref="D20:D21"/>
    <mergeCell ref="A31:C31"/>
    <mergeCell ref="A36:C36"/>
    <mergeCell ref="A25:B25"/>
    <mergeCell ref="A27:B27"/>
    <mergeCell ref="A28:B28"/>
    <mergeCell ref="A26:B26"/>
    <mergeCell ref="A43:G43"/>
    <mergeCell ref="F18:G18"/>
    <mergeCell ref="D48:E48"/>
    <mergeCell ref="A24:C24"/>
    <mergeCell ref="E20:E21"/>
    <mergeCell ref="H51:H52"/>
    <mergeCell ref="B52:C52"/>
    <mergeCell ref="F52:G52"/>
    <mergeCell ref="B49:C49"/>
    <mergeCell ref="F49:G49"/>
    <mergeCell ref="B50:C50"/>
    <mergeCell ref="F50:G50"/>
    <mergeCell ref="B51:C51"/>
    <mergeCell ref="F51:G51"/>
    <mergeCell ref="D44:E44"/>
    <mergeCell ref="D45:E45"/>
    <mergeCell ref="B48:C48"/>
  </mergeCells>
  <conditionalFormatting sqref="B41">
    <cfRule type="cellIs" dxfId="96" priority="18" operator="equal">
      <formula>"ERROR: &gt;30%"</formula>
    </cfRule>
    <cfRule type="cellIs" dxfId="95" priority="19" operator="notEqual">
      <formula>"ERROR"</formula>
    </cfRule>
  </conditionalFormatting>
  <conditionalFormatting sqref="C27:C28">
    <cfRule type="cellIs" dxfId="94" priority="9" operator="equal">
      <formula>"CLASS ?"</formula>
    </cfRule>
    <cfRule type="cellIs" dxfId="93" priority="13" operator="equal">
      <formula>"GRADE ?"</formula>
    </cfRule>
  </conditionalFormatting>
  <conditionalFormatting sqref="C32:C33">
    <cfRule type="cellIs" dxfId="92" priority="11" operator="equal">
      <formula>"FAIL"</formula>
    </cfRule>
  </conditionalFormatting>
  <conditionalFormatting sqref="C32:C34">
    <cfRule type="cellIs" dxfId="91" priority="4" operator="equal">
      <formula>"PASS"</formula>
    </cfRule>
  </conditionalFormatting>
  <conditionalFormatting sqref="C33">
    <cfRule type="cellIs" dxfId="90" priority="6" operator="equal">
      <formula>"w/cm ?"</formula>
    </cfRule>
  </conditionalFormatting>
  <conditionalFormatting sqref="C34">
    <cfRule type="cellIs" dxfId="89" priority="5" operator="equal">
      <formula>"AIR ?"</formula>
    </cfRule>
  </conditionalFormatting>
  <conditionalFormatting sqref="E20:E21">
    <cfRule type="cellIs" dxfId="88" priority="3" operator="equal">
      <formula>"PLEASE FILL TABLE"</formula>
    </cfRule>
  </conditionalFormatting>
  <conditionalFormatting sqref="H43:I45">
    <cfRule type="cellIs" dxfId="87" priority="1" operator="equal">
      <formula>"Test Number Required"</formula>
    </cfRule>
    <cfRule type="cellIs" dxfId="86" priority="2" operator="equal">
      <formula>"No Test Number Required"</formula>
    </cfRule>
  </conditionalFormatting>
  <printOptions verticalCentered="1"/>
  <pageMargins left="0.25" right="0.25" top="0.5" bottom="0.5" header="0.3" footer="0.3"/>
  <pageSetup scale="62" orientation="landscape" r:id="rId1"/>
  <headerFooter>
    <oddFooter>&amp;L&amp;9&amp;A&amp;C&amp;9&amp;P of &amp;N&amp;R&amp;9&amp;F</oddFooter>
  </headerFooter>
  <colBreaks count="1" manualBreakCount="1">
    <brk id="9" max="1048575" man="1"/>
  </colBreaks>
  <ignoredErrors>
    <ignoredError sqref="C27:C28" unlockedFormula="1"/>
  </ignoredError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errorTitle="Error" error="Select the proper concrete grade from the drop down menu._x000a__x000a_Note: The notation has been simplified. Refer to 501.3.2.2.1 for details." xr:uid="{1937527D-D5DB-41B0-8C63-959A5ADEA148}">
          <x14:formula1>
            <xm:f>'5 Agg Analysis'!$AB$45:$AB$49</xm:f>
          </x14:formula1>
          <xm:sqref>C25</xm:sqref>
        </x14:dataValidation>
        <x14:dataValidation type="list" allowBlank="1" showInputMessage="1" showErrorMessage="1" errorTitle="Error" error="Select the proper concrete classification from the drop down menu." xr:uid="{E528A227-4CCA-4E81-97F2-FBDB9D3A1077}">
          <x14:formula1>
            <xm:f>'5 Agg Analysis'!$AA$45:$AA$50</xm:f>
          </x14:formula1>
          <xm:sqref>C26</xm:sqref>
        </x14:dataValidation>
        <x14:dataValidation type="list" allowBlank="1" showInputMessage="1" showErrorMessage="1" xr:uid="{5F25CB27-DE19-431E-AF6F-417D0CA42822}">
          <x14:formula1>
            <xm:f>'5 Agg Analysis'!$AL$43:$AL$46</xm:f>
          </x14:formula1>
          <xm:sqref>C45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B08F2-1E50-436C-8C86-631E6B75F762}">
  <dimension ref="A1:V93"/>
  <sheetViews>
    <sheetView showGridLines="0" zoomScale="80" zoomScaleNormal="80" zoomScaleSheetLayoutView="85" workbookViewId="0">
      <selection activeCell="H28" sqref="H28"/>
    </sheetView>
  </sheetViews>
  <sheetFormatPr defaultColWidth="8.6640625" defaultRowHeight="15.6" x14ac:dyDescent="0.3"/>
  <cols>
    <col min="1" max="1" width="19.44140625" style="447" customWidth="1"/>
    <col min="2" max="2" width="18.88671875" style="447" customWidth="1"/>
    <col min="3" max="3" width="15.44140625" style="447" customWidth="1"/>
    <col min="4" max="4" width="16.6640625" style="447" customWidth="1"/>
    <col min="5" max="5" width="14.44140625" style="447" customWidth="1"/>
    <col min="6" max="6" width="13.5546875" style="447" bestFit="1" customWidth="1"/>
    <col min="7" max="7" width="14.88671875" style="447" customWidth="1"/>
    <col min="8" max="8" width="15" style="447" customWidth="1"/>
    <col min="9" max="9" width="21.5546875" style="447" customWidth="1"/>
    <col min="10" max="11" width="21.6640625" style="447" customWidth="1"/>
    <col min="12" max="12" width="17.33203125" style="447" customWidth="1"/>
    <col min="13" max="13" width="8.33203125" style="447" customWidth="1"/>
    <col min="14" max="14" width="28.6640625" style="447" bestFit="1" customWidth="1"/>
    <col min="15" max="16384" width="8.6640625" style="447"/>
  </cols>
  <sheetData>
    <row r="1" spans="1:16" s="361" customFormat="1" x14ac:dyDescent="0.3">
      <c r="A1" s="799" t="s">
        <v>389</v>
      </c>
      <c r="B1" s="800"/>
      <c r="C1" s="800"/>
      <c r="D1" s="800"/>
      <c r="E1" s="801" t="s">
        <v>387</v>
      </c>
      <c r="F1" s="801"/>
      <c r="G1" s="801"/>
      <c r="H1" s="801"/>
      <c r="I1" s="802"/>
    </row>
    <row r="2" spans="1:16" s="361" customFormat="1" x14ac:dyDescent="0.3">
      <c r="A2" s="803" t="str">
        <f>Directions!A2</f>
        <v>DT2220     07/2022</v>
      </c>
      <c r="B2" s="804"/>
      <c r="C2" s="804"/>
      <c r="D2" s="804"/>
      <c r="E2" s="804"/>
      <c r="F2" s="804"/>
      <c r="G2" s="804"/>
      <c r="H2" s="804"/>
      <c r="I2" s="805"/>
    </row>
    <row r="3" spans="1:16" s="361" customFormat="1" x14ac:dyDescent="0.3">
      <c r="A3" s="728" t="s">
        <v>15</v>
      </c>
      <c r="B3" s="729"/>
      <c r="C3" s="729"/>
      <c r="D3" s="729"/>
      <c r="E3" s="729"/>
      <c r="F3" s="729"/>
      <c r="G3" s="730"/>
      <c r="H3" s="576" t="s">
        <v>399</v>
      </c>
      <c r="I3" s="577">
        <f>'1 Certification'!H22</f>
        <v>0</v>
      </c>
    </row>
    <row r="4" spans="1:16" s="361" customFormat="1" x14ac:dyDescent="0.3">
      <c r="A4" s="733" t="s">
        <v>16</v>
      </c>
      <c r="B4" s="734"/>
      <c r="C4" s="734" t="s">
        <v>17</v>
      </c>
      <c r="D4" s="734"/>
      <c r="E4" s="735" t="s">
        <v>18</v>
      </c>
      <c r="F4" s="736"/>
      <c r="G4" s="736"/>
      <c r="H4" s="725" t="s">
        <v>19</v>
      </c>
      <c r="I4" s="727"/>
    </row>
    <row r="5" spans="1:16" s="361" customFormat="1" x14ac:dyDescent="0.3">
      <c r="A5" s="728">
        <f>'1 Certification'!B5</f>
        <v>0</v>
      </c>
      <c r="B5" s="730"/>
      <c r="C5" s="731">
        <f>'1 Certification'!E5</f>
        <v>0</v>
      </c>
      <c r="D5" s="730"/>
      <c r="E5" s="737">
        <f>'1 Certification'!F5</f>
        <v>0</v>
      </c>
      <c r="F5" s="738"/>
      <c r="G5" s="738"/>
      <c r="H5" s="739">
        <f>'1 Certification'!H5</f>
        <v>0</v>
      </c>
      <c r="I5" s="740"/>
      <c r="P5" s="361" t="s">
        <v>2</v>
      </c>
    </row>
    <row r="6" spans="1:16" s="361" customFormat="1" x14ac:dyDescent="0.3">
      <c r="A6" s="723" t="s">
        <v>20</v>
      </c>
      <c r="B6" s="724"/>
      <c r="C6" s="724"/>
      <c r="D6" s="724"/>
      <c r="E6" s="725" t="s">
        <v>21</v>
      </c>
      <c r="F6" s="726"/>
      <c r="G6" s="726"/>
      <c r="H6" s="726"/>
      <c r="I6" s="727"/>
    </row>
    <row r="7" spans="1:16" s="361" customFormat="1" x14ac:dyDescent="0.3">
      <c r="A7" s="728">
        <f>'1 Certification'!B7</f>
        <v>0</v>
      </c>
      <c r="B7" s="729"/>
      <c r="C7" s="729"/>
      <c r="D7" s="730"/>
      <c r="E7" s="731">
        <f>'1 Certification'!F7</f>
        <v>0</v>
      </c>
      <c r="F7" s="729"/>
      <c r="G7" s="729"/>
      <c r="H7" s="729"/>
      <c r="I7" s="732"/>
    </row>
    <row r="8" spans="1:16" s="361" customFormat="1" ht="15.6" customHeight="1" x14ac:dyDescent="0.3">
      <c r="A8" s="723" t="s">
        <v>22</v>
      </c>
      <c r="B8" s="724"/>
      <c r="C8" s="724"/>
      <c r="D8" s="724"/>
      <c r="E8" s="725" t="s">
        <v>311</v>
      </c>
      <c r="F8" s="726"/>
      <c r="G8" s="726"/>
      <c r="H8" s="726"/>
      <c r="I8" s="727"/>
      <c r="L8" s="443"/>
      <c r="M8" s="443"/>
    </row>
    <row r="9" spans="1:16" s="361" customFormat="1" ht="18.600000000000001" thickBot="1" x14ac:dyDescent="0.35">
      <c r="A9" s="770">
        <f>'1 Certification'!B9</f>
        <v>0</v>
      </c>
      <c r="B9" s="771"/>
      <c r="C9" s="771"/>
      <c r="D9" s="771"/>
      <c r="E9" s="772">
        <f>'1 Certification'!F9</f>
        <v>0</v>
      </c>
      <c r="F9" s="773"/>
      <c r="G9" s="773"/>
      <c r="H9" s="773"/>
      <c r="I9" s="774"/>
      <c r="J9" s="796" t="str">
        <f>Directions!N9</f>
        <v>Version 2.0</v>
      </c>
      <c r="K9" s="797"/>
      <c r="L9" s="444"/>
      <c r="M9" s="444"/>
    </row>
    <row r="10" spans="1:16" s="361" customFormat="1" ht="16.2" thickBot="1" x14ac:dyDescent="0.35">
      <c r="A10" s="362"/>
      <c r="B10" s="362"/>
      <c r="C10" s="362"/>
      <c r="D10" s="362"/>
      <c r="E10" s="362"/>
      <c r="F10" s="362"/>
      <c r="G10" s="362"/>
      <c r="H10" s="362"/>
      <c r="I10" s="362"/>
      <c r="J10" s="798"/>
      <c r="K10" s="798"/>
      <c r="L10" s="445"/>
      <c r="M10" s="445"/>
    </row>
    <row r="11" spans="1:16" s="361" customFormat="1" ht="16.2" thickBot="1" x14ac:dyDescent="0.35">
      <c r="A11" s="767" t="s">
        <v>364</v>
      </c>
      <c r="B11" s="768"/>
      <c r="C11" s="768"/>
      <c r="D11" s="768"/>
      <c r="E11" s="768"/>
      <c r="F11" s="768"/>
      <c r="G11" s="769"/>
      <c r="H11" s="765" t="s">
        <v>362</v>
      </c>
      <c r="I11" s="766"/>
      <c r="L11" s="445"/>
      <c r="M11" s="445"/>
    </row>
    <row r="12" spans="1:16" s="361" customFormat="1" ht="16.2" thickBot="1" x14ac:dyDescent="0.35">
      <c r="A12" s="362"/>
      <c r="B12" s="362"/>
      <c r="C12" s="362"/>
      <c r="D12" s="362"/>
      <c r="E12" s="362"/>
      <c r="F12" s="362"/>
      <c r="G12" s="362"/>
      <c r="H12" s="362"/>
      <c r="I12" s="362"/>
      <c r="J12" s="446"/>
      <c r="K12" s="446"/>
      <c r="L12" s="445"/>
      <c r="M12" s="445"/>
    </row>
    <row r="13" spans="1:16" ht="16.2" thickBot="1" x14ac:dyDescent="0.35">
      <c r="A13" s="760" t="s">
        <v>76</v>
      </c>
      <c r="B13" s="787"/>
      <c r="C13" s="787"/>
      <c r="D13" s="787"/>
      <c r="E13" s="787"/>
      <c r="F13" s="787"/>
      <c r="G13" s="787"/>
      <c r="H13" s="788"/>
      <c r="I13" s="361"/>
      <c r="J13" s="361"/>
      <c r="K13" s="361"/>
      <c r="L13" s="361"/>
    </row>
    <row r="14" spans="1:16" ht="15.6" customHeight="1" x14ac:dyDescent="0.3">
      <c r="A14" s="783" t="s">
        <v>77</v>
      </c>
      <c r="B14" s="779" t="s">
        <v>231</v>
      </c>
      <c r="C14" s="780"/>
      <c r="D14" s="775" t="s">
        <v>346</v>
      </c>
      <c r="E14" s="785" t="s">
        <v>423</v>
      </c>
      <c r="F14" s="763" t="s">
        <v>224</v>
      </c>
      <c r="G14" s="777" t="s">
        <v>27</v>
      </c>
      <c r="H14" s="775" t="s">
        <v>383</v>
      </c>
      <c r="I14" s="361"/>
      <c r="N14" s="347"/>
    </row>
    <row r="15" spans="1:16" ht="16.2" thickBot="1" x14ac:dyDescent="0.35">
      <c r="A15" s="784"/>
      <c r="B15" s="781"/>
      <c r="C15" s="782"/>
      <c r="D15" s="776"/>
      <c r="E15" s="786"/>
      <c r="F15" s="764"/>
      <c r="G15" s="778"/>
      <c r="H15" s="776"/>
      <c r="I15" s="361"/>
      <c r="N15" s="347"/>
    </row>
    <row r="16" spans="1:16" x14ac:dyDescent="0.3">
      <c r="A16" s="448" t="str">
        <f>'2 Aggregate System'!A13</f>
        <v>Coarse A</v>
      </c>
      <c r="B16" s="741" t="str">
        <f>IF('2 Aggregate System'!B13=0,"",'2 Aggregate System'!B13)</f>
        <v/>
      </c>
      <c r="C16" s="742"/>
      <c r="D16" s="449"/>
      <c r="E16" s="597" t="str">
        <f>'Optimize Tool'!E9</f>
        <v/>
      </c>
      <c r="F16" s="450" t="str">
        <f>'6 Calculation Check'!H44</f>
        <v>ENTER WTS.</v>
      </c>
      <c r="G16" s="451">
        <f>'6 Calculation Check'!P5</f>
        <v>0</v>
      </c>
      <c r="H16" s="452" t="str">
        <f>'6 Calculation Check'!G26</f>
        <v>-</v>
      </c>
      <c r="I16" s="361"/>
      <c r="N16" s="453"/>
    </row>
    <row r="17" spans="1:17" x14ac:dyDescent="0.3">
      <c r="A17" s="454" t="str">
        <f>'2 Aggregate System'!A14</f>
        <v>Coarse B</v>
      </c>
      <c r="B17" s="741" t="str">
        <f>IF('2 Aggregate System'!B14=0,"",'2 Aggregate System'!B14)</f>
        <v/>
      </c>
      <c r="C17" s="742"/>
      <c r="D17" s="455"/>
      <c r="E17" s="598" t="str">
        <f>'Optimize Tool'!E10</f>
        <v/>
      </c>
      <c r="F17" s="456" t="str">
        <f>'6 Calculation Check'!I44</f>
        <v>ENTER WTS.</v>
      </c>
      <c r="G17" s="457">
        <f>'6 Calculation Check'!P6</f>
        <v>0</v>
      </c>
      <c r="H17" s="458" t="str">
        <f>'6 Calculation Check'!G27</f>
        <v>-</v>
      </c>
      <c r="I17" s="361"/>
      <c r="N17" s="453"/>
    </row>
    <row r="18" spans="1:17" x14ac:dyDescent="0.3">
      <c r="A18" s="454" t="str">
        <f>'2 Aggregate System'!A15</f>
        <v>Coarse C</v>
      </c>
      <c r="B18" s="741" t="str">
        <f>IF('2 Aggregate System'!B15=0,"",'2 Aggregate System'!B15)</f>
        <v/>
      </c>
      <c r="C18" s="742"/>
      <c r="D18" s="455"/>
      <c r="E18" s="598" t="str">
        <f>'Optimize Tool'!E11</f>
        <v/>
      </c>
      <c r="F18" s="456" t="str">
        <f>'6 Calculation Check'!J44</f>
        <v>ENTER WTS.</v>
      </c>
      <c r="G18" s="457">
        <f>'6 Calculation Check'!P7</f>
        <v>0</v>
      </c>
      <c r="H18" s="458" t="str">
        <f>'6 Calculation Check'!G28</f>
        <v>-</v>
      </c>
      <c r="N18" s="453"/>
    </row>
    <row r="19" spans="1:17" x14ac:dyDescent="0.3">
      <c r="A19" s="454" t="str">
        <f>'2 Aggregate System'!A16</f>
        <v>Fine A</v>
      </c>
      <c r="B19" s="741" t="str">
        <f>IF('2 Aggregate System'!B16=0,"",'2 Aggregate System'!B16)</f>
        <v/>
      </c>
      <c r="C19" s="742"/>
      <c r="D19" s="455"/>
      <c r="E19" s="598" t="str">
        <f>'Optimize Tool'!E12</f>
        <v/>
      </c>
      <c r="F19" s="456" t="str">
        <f>'6 Calculation Check'!K44</f>
        <v>ENTER WTS.</v>
      </c>
      <c r="G19" s="457">
        <f>'6 Calculation Check'!P8</f>
        <v>0</v>
      </c>
      <c r="H19" s="458" t="str">
        <f>'6 Calculation Check'!G29</f>
        <v>-</v>
      </c>
      <c r="I19" s="361"/>
      <c r="M19" s="361"/>
      <c r="N19" s="453"/>
    </row>
    <row r="20" spans="1:17" ht="16.2" thickBot="1" x14ac:dyDescent="0.35">
      <c r="A20" s="459" t="str">
        <f>'2 Aggregate System'!A17</f>
        <v>Fine B</v>
      </c>
      <c r="B20" s="745" t="str">
        <f>IF('2 Aggregate System'!B17=0,"",'2 Aggregate System'!B17)</f>
        <v/>
      </c>
      <c r="C20" s="746"/>
      <c r="D20" s="460"/>
      <c r="E20" s="599" t="str">
        <f>'Optimize Tool'!E13</f>
        <v/>
      </c>
      <c r="F20" s="461" t="str">
        <f>'6 Calculation Check'!L44</f>
        <v>ENTER WTS.</v>
      </c>
      <c r="G20" s="457">
        <f>'6 Calculation Check'!P9</f>
        <v>0</v>
      </c>
      <c r="H20" s="462" t="str">
        <f>'6 Calculation Check'!G30</f>
        <v>-</v>
      </c>
      <c r="I20" s="361"/>
      <c r="M20" s="361"/>
      <c r="N20" s="453"/>
    </row>
    <row r="21" spans="1:17" x14ac:dyDescent="0.3">
      <c r="A21" s="448" t="str">
        <f>'3 Paste Quality'!A13</f>
        <v>Cement</v>
      </c>
      <c r="B21" s="747" t="str">
        <f>IF('3 Paste Quality'!B13=0,"",'3 Paste Quality'!B13)</f>
        <v/>
      </c>
      <c r="C21" s="748"/>
      <c r="D21" s="463" t="str" cm="1">
        <f t="array" ref="D21">IF(OR('3 Paste Quality'!$B$32=0,'3 Paste Quality'!B32&lt;500),"CM ERROR",ROUND('3 Paste Quality'!$B$32,0)-SUM(ROUND(D22:D25,0)))</f>
        <v>CM ERROR</v>
      </c>
      <c r="E21" s="676"/>
      <c r="F21" s="677"/>
      <c r="G21" s="464" t="str">
        <f>'6 Calculation Check'!P10</f>
        <v>SG?</v>
      </c>
      <c r="H21" s="458" t="str">
        <f>'6 Calculation Check'!G31</f>
        <v>CM ERROR</v>
      </c>
      <c r="M21" s="361"/>
      <c r="N21" s="465"/>
      <c r="O21" s="466"/>
      <c r="P21" s="467"/>
      <c r="Q21" s="468"/>
    </row>
    <row r="22" spans="1:17" x14ac:dyDescent="0.3">
      <c r="A22" s="454" t="str">
        <f>'3 Paste Quality'!A14</f>
        <v>Fly Ash</v>
      </c>
      <c r="B22" s="743" t="str">
        <f>IF('3 Paste Quality'!B14=0,"",'3 Paste Quality'!B14)</f>
        <v/>
      </c>
      <c r="C22" s="744"/>
      <c r="D22" s="469">
        <f>IF('3 Paste Quality'!B37=0,0,ROUND('3 Paste Quality'!B37*'3 Paste Quality'!$B$32/100,0))</f>
        <v>0</v>
      </c>
      <c r="E22" s="676"/>
      <c r="F22" s="678"/>
      <c r="G22" s="470">
        <f>'6 Calculation Check'!P11</f>
        <v>0</v>
      </c>
      <c r="H22" s="458" t="str">
        <f>'6 Calculation Check'!G32</f>
        <v>CM ERROR</v>
      </c>
      <c r="M22" s="471"/>
      <c r="N22" s="465"/>
      <c r="O22" s="472"/>
      <c r="P22" s="473"/>
      <c r="Q22" s="468"/>
    </row>
    <row r="23" spans="1:17" x14ac:dyDescent="0.3">
      <c r="A23" s="454" t="s">
        <v>70</v>
      </c>
      <c r="B23" s="743" t="str">
        <f>IF('3 Paste Quality'!B15=0,"",'3 Paste Quality'!B15)</f>
        <v/>
      </c>
      <c r="C23" s="744"/>
      <c r="D23" s="469">
        <f>IF('3 Paste Quality'!B38=0,0,ROUND('3 Paste Quality'!B38*'3 Paste Quality'!$B$32/100,0))</f>
        <v>0</v>
      </c>
      <c r="E23" s="676"/>
      <c r="F23" s="678"/>
      <c r="G23" s="470">
        <f>'6 Calculation Check'!P12</f>
        <v>0</v>
      </c>
      <c r="H23" s="458" t="str">
        <f>'6 Calculation Check'!G33</f>
        <v>CM ERROR</v>
      </c>
      <c r="M23" s="471"/>
      <c r="O23" s="361"/>
    </row>
    <row r="24" spans="1:17" x14ac:dyDescent="0.3">
      <c r="A24" s="454" t="s">
        <v>220</v>
      </c>
      <c r="B24" s="743" t="str">
        <f>IF('3 Paste Quality'!B16=0,"",'3 Paste Quality'!B16)</f>
        <v/>
      </c>
      <c r="C24" s="744"/>
      <c r="D24" s="469">
        <f>IF('3 Paste Quality'!B39=0,0,ROUND('3 Paste Quality'!B39*'3 Paste Quality'!$B$32/100,0))</f>
        <v>0</v>
      </c>
      <c r="E24" s="676"/>
      <c r="F24" s="678"/>
      <c r="G24" s="470">
        <f>'6 Calculation Check'!P13</f>
        <v>0</v>
      </c>
      <c r="H24" s="458" t="str">
        <f>'6 Calculation Check'!G34</f>
        <v>CM ERROR</v>
      </c>
      <c r="M24" s="474"/>
      <c r="O24" s="474"/>
    </row>
    <row r="25" spans="1:17" x14ac:dyDescent="0.3">
      <c r="A25" s="454" t="s">
        <v>222</v>
      </c>
      <c r="B25" s="743" t="str">
        <f>IF('3 Paste Quality'!B17=0,"",'3 Paste Quality'!B17)</f>
        <v/>
      </c>
      <c r="C25" s="744"/>
      <c r="D25" s="469">
        <f>IF('3 Paste Quality'!B40=0,0,ROUND('3 Paste Quality'!B40*'3 Paste Quality'!$B$32/100,0))</f>
        <v>0</v>
      </c>
      <c r="E25" s="676"/>
      <c r="F25" s="678"/>
      <c r="G25" s="470">
        <f>'6 Calculation Check'!P14</f>
        <v>0</v>
      </c>
      <c r="H25" s="458" t="str">
        <f>'6 Calculation Check'!G35</f>
        <v>CM ERROR</v>
      </c>
      <c r="M25" s="474"/>
      <c r="O25" s="474"/>
    </row>
    <row r="26" spans="1:17" x14ac:dyDescent="0.3">
      <c r="A26" s="454" t="s">
        <v>73</v>
      </c>
      <c r="B26" s="751"/>
      <c r="C26" s="752"/>
      <c r="D26" s="469" t="e">
        <f>IF('3 Paste Quality'!B33&gt;'3 Paste Quality'!C28,"W/CM ERROR",C31*'3 Paste Quality'!B33)</f>
        <v>#VALUE!</v>
      </c>
      <c r="E26" s="676"/>
      <c r="F26" s="678"/>
      <c r="G26" s="470">
        <v>1</v>
      </c>
      <c r="H26" s="458" t="str">
        <f>'6 Calculation Check'!G37</f>
        <v>CM ERROR</v>
      </c>
      <c r="I26" s="475"/>
      <c r="M26" s="361"/>
      <c r="O26" s="361"/>
    </row>
    <row r="27" spans="1:17" ht="16.2" thickBot="1" x14ac:dyDescent="0.35">
      <c r="A27" s="459" t="s">
        <v>379</v>
      </c>
      <c r="B27" s="753"/>
      <c r="C27" s="754"/>
      <c r="D27" s="462" t="str">
        <f>IF('6 Calculation Check'!D12=0,"VOL. AIR?",'6 Calculation Check'!$D$12)</f>
        <v>VOL. AIR?</v>
      </c>
      <c r="E27" s="676"/>
      <c r="F27" s="678"/>
      <c r="G27" s="476"/>
      <c r="H27" s="458" t="str">
        <f>'6 Calculation Check'!G38</f>
        <v>AIR ?</v>
      </c>
      <c r="I27" s="475"/>
      <c r="M27" s="361"/>
      <c r="O27" s="361"/>
    </row>
    <row r="28" spans="1:17" ht="16.2" thickBot="1" x14ac:dyDescent="0.35">
      <c r="A28" s="755" t="s">
        <v>78</v>
      </c>
      <c r="B28" s="756"/>
      <c r="C28" s="757"/>
      <c r="D28" s="477" t="e">
        <f>SUM(D16:D26)</f>
        <v>#VALUE!</v>
      </c>
      <c r="E28" s="676"/>
      <c r="F28" s="679"/>
      <c r="G28" s="680"/>
      <c r="H28" s="478" t="str">
        <f>IF(AND(D16=0,D17=0,D18=0,D19=0,D20=0),"ENTER WTS.",IF(OR('6 Calculation Check'!$D$12=0,'3 Paste Quality'!B32&lt;'3 Paste Quality'!$C$27,'3 Paste Quality'!B41&gt;'6 Calculation Check'!$D$15,'3 Paste Quality'!B32=0),"CM ERROR",SUM(H16:H27)))</f>
        <v>ENTER WTS.</v>
      </c>
      <c r="I28" s="361"/>
    </row>
    <row r="29" spans="1:17" ht="16.2" thickBot="1" x14ac:dyDescent="0.35">
      <c r="A29" s="361"/>
      <c r="B29" s="361"/>
      <c r="C29" s="431"/>
      <c r="D29" s="479"/>
      <c r="E29" s="361"/>
      <c r="F29" s="361"/>
      <c r="G29" s="361"/>
      <c r="H29" s="361"/>
      <c r="I29" s="361"/>
    </row>
    <row r="30" spans="1:17" ht="16.2" thickBot="1" x14ac:dyDescent="0.35">
      <c r="A30" s="760" t="s">
        <v>250</v>
      </c>
      <c r="B30" s="761"/>
      <c r="C30" s="761"/>
      <c r="D30" s="762"/>
      <c r="E30" s="361"/>
      <c r="F30" s="361"/>
      <c r="G30" s="361"/>
      <c r="H30" s="361"/>
      <c r="I30" s="361"/>
    </row>
    <row r="31" spans="1:17" ht="16.2" thickBot="1" x14ac:dyDescent="0.35">
      <c r="A31" s="758" t="s">
        <v>79</v>
      </c>
      <c r="B31" s="759"/>
      <c r="C31" s="480" t="str">
        <f>IF(OR('3 Paste Quality'!B33&gt;'3 Paste Quality'!C28,'3 Paste Quality'!B32&lt;'3 Paste Quality'!$C$27,SUM('3 Paste Quality'!B37:B40)&gt;'6 Calculation Check'!$D$15),"CM ERROR",'3 Paste Quality'!B32)</f>
        <v>CM ERROR</v>
      </c>
      <c r="D31" s="481" t="s">
        <v>253</v>
      </c>
      <c r="F31" s="443"/>
      <c r="G31" s="443"/>
      <c r="H31" s="443"/>
      <c r="I31" s="361"/>
    </row>
    <row r="32" spans="1:17" ht="18" thickBot="1" x14ac:dyDescent="0.35">
      <c r="A32" s="749" t="s">
        <v>251</v>
      </c>
      <c r="B32" s="750"/>
      <c r="C32" s="482">
        <f>SUM(H16:H20)</f>
        <v>0</v>
      </c>
      <c r="D32" s="481" t="s">
        <v>384</v>
      </c>
      <c r="F32" s="443"/>
      <c r="G32" s="443"/>
      <c r="H32" s="443"/>
      <c r="I32" s="361"/>
    </row>
    <row r="33" spans="1:14" ht="16.2" thickBot="1" x14ac:dyDescent="0.35">
      <c r="A33" s="749" t="s">
        <v>252</v>
      </c>
      <c r="B33" s="750"/>
      <c r="C33" s="483">
        <f>SUM(D16:D20)</f>
        <v>0</v>
      </c>
      <c r="D33" s="481" t="s">
        <v>249</v>
      </c>
      <c r="F33" s="443"/>
      <c r="G33" s="443"/>
      <c r="H33" s="443"/>
      <c r="I33" s="361"/>
    </row>
    <row r="34" spans="1:14" x14ac:dyDescent="0.3">
      <c r="A34" s="814" t="s">
        <v>265</v>
      </c>
      <c r="B34" s="815"/>
      <c r="C34" s="484" t="str">
        <f>IFERROR(SUM(H16:H18)/$H$28*100,"")</f>
        <v/>
      </c>
      <c r="D34" s="485" t="s">
        <v>33</v>
      </c>
      <c r="F34" s="443"/>
      <c r="G34" s="443"/>
      <c r="H34" s="443"/>
      <c r="I34" s="361"/>
    </row>
    <row r="35" spans="1:14" x14ac:dyDescent="0.3">
      <c r="A35" s="816" t="s">
        <v>266</v>
      </c>
      <c r="B35" s="817"/>
      <c r="C35" s="484" t="str">
        <f>IFERROR(SUM(H19:H20)/$H$28*100,"")</f>
        <v/>
      </c>
      <c r="D35" s="485" t="s">
        <v>33</v>
      </c>
      <c r="F35" s="443"/>
      <c r="G35" s="443"/>
      <c r="H35" s="443"/>
      <c r="I35" s="361"/>
      <c r="N35" s="486"/>
    </row>
    <row r="36" spans="1:14" x14ac:dyDescent="0.3">
      <c r="A36" s="816" t="s">
        <v>267</v>
      </c>
      <c r="B36" s="817"/>
      <c r="C36" s="487" t="str">
        <f>IFERROR((SUM(H21:H27))/H28*100,"")</f>
        <v/>
      </c>
      <c r="D36" s="488" t="s">
        <v>33</v>
      </c>
      <c r="F36" s="361"/>
      <c r="G36" s="361"/>
      <c r="H36" s="361"/>
      <c r="I36" s="361"/>
      <c r="J36" s="361"/>
      <c r="M36" s="361"/>
    </row>
    <row r="37" spans="1:14" x14ac:dyDescent="0.3">
      <c r="A37" s="818" t="s">
        <v>268</v>
      </c>
      <c r="B37" s="819"/>
      <c r="C37" s="487" t="str">
        <f>IFERROR((SUM(H16:H20)/H28)*100,"")</f>
        <v/>
      </c>
      <c r="D37" s="488" t="s">
        <v>33</v>
      </c>
      <c r="F37" s="361"/>
      <c r="G37" s="361"/>
      <c r="H37" s="361"/>
      <c r="I37" s="361"/>
      <c r="J37" s="361"/>
      <c r="M37" s="361"/>
    </row>
    <row r="38" spans="1:14" ht="16.2" thickBot="1" x14ac:dyDescent="0.35">
      <c r="A38" s="781" t="s">
        <v>69</v>
      </c>
      <c r="B38" s="782"/>
      <c r="C38" s="489" t="str">
        <f>IF(OR('3 Paste Quality'!B33&gt;'3 Paste Quality'!C28,'3 Paste Quality'!B33=0,'3 Paste Quality'!B33=""),"W/CM ERROR",IFERROR(D26/(SUM(D21:D25)),0))</f>
        <v>W/CM ERROR</v>
      </c>
      <c r="D38" s="490"/>
      <c r="F38" s="361"/>
      <c r="G38" s="361"/>
      <c r="H38" s="361"/>
      <c r="I38" s="361"/>
      <c r="J38" s="361"/>
      <c r="M38" s="361"/>
    </row>
    <row r="39" spans="1:14" x14ac:dyDescent="0.3">
      <c r="F39" s="361"/>
      <c r="G39" s="361"/>
      <c r="H39" s="361"/>
      <c r="I39" s="361"/>
      <c r="J39" s="361"/>
      <c r="M39" s="361"/>
    </row>
    <row r="40" spans="1:14" x14ac:dyDescent="0.3">
      <c r="F40" s="361"/>
      <c r="G40" s="361"/>
      <c r="H40" s="361"/>
      <c r="I40" s="361"/>
      <c r="J40" s="361"/>
      <c r="M40" s="361"/>
    </row>
    <row r="45" spans="1:14" ht="16.2" thickBot="1" x14ac:dyDescent="0.35"/>
    <row r="46" spans="1:14" ht="16.2" thickBot="1" x14ac:dyDescent="0.35">
      <c r="A46" s="760" t="s">
        <v>256</v>
      </c>
      <c r="B46" s="787"/>
      <c r="C46" s="787"/>
      <c r="D46" s="787"/>
      <c r="E46" s="787"/>
      <c r="F46" s="787"/>
      <c r="G46" s="787"/>
      <c r="H46" s="787"/>
      <c r="I46" s="787"/>
      <c r="J46" s="788"/>
    </row>
    <row r="47" spans="1:14" ht="16.2" thickBot="1" x14ac:dyDescent="0.35">
      <c r="A47" s="491"/>
      <c r="B47" s="812" t="s">
        <v>271</v>
      </c>
      <c r="C47" s="813"/>
      <c r="D47" s="813"/>
      <c r="E47" s="813"/>
      <c r="F47" s="813"/>
      <c r="G47" s="820" t="s">
        <v>228</v>
      </c>
      <c r="H47" s="821"/>
      <c r="I47" s="821"/>
      <c r="J47" s="822"/>
    </row>
    <row r="48" spans="1:14" ht="16.2" customHeight="1" thickBot="1" x14ac:dyDescent="0.35">
      <c r="A48" s="777" t="s">
        <v>178</v>
      </c>
      <c r="B48" s="368" t="s">
        <v>167</v>
      </c>
      <c r="C48" s="492" t="s">
        <v>168</v>
      </c>
      <c r="D48" s="368" t="s">
        <v>185</v>
      </c>
      <c r="E48" s="492" t="s">
        <v>186</v>
      </c>
      <c r="F48" s="368" t="s">
        <v>187</v>
      </c>
      <c r="G48" s="789" t="s">
        <v>273</v>
      </c>
      <c r="H48" s="790"/>
      <c r="I48" s="777" t="s">
        <v>261</v>
      </c>
      <c r="J48" s="777" t="s">
        <v>50</v>
      </c>
    </row>
    <row r="49" spans="1:18" ht="51" customHeight="1" thickBot="1" x14ac:dyDescent="0.35">
      <c r="A49" s="778"/>
      <c r="B49" s="312" t="str">
        <f>'2 Aggregate System'!B24</f>
        <v/>
      </c>
      <c r="C49" s="312" t="str">
        <f>'2 Aggregate System'!C24</f>
        <v/>
      </c>
      <c r="D49" s="312" t="str">
        <f>'2 Aggregate System'!D24</f>
        <v/>
      </c>
      <c r="E49" s="312" t="str">
        <f>'2 Aggregate System'!E24</f>
        <v/>
      </c>
      <c r="F49" s="312" t="str">
        <f>'2 Aggregate System'!F24</f>
        <v/>
      </c>
      <c r="G49" s="791"/>
      <c r="H49" s="792"/>
      <c r="I49" s="795"/>
      <c r="J49" s="795"/>
    </row>
    <row r="50" spans="1:18" ht="16.2" thickBot="1" x14ac:dyDescent="0.35">
      <c r="A50" s="420" t="s">
        <v>248</v>
      </c>
      <c r="B50" s="493" t="str">
        <f>'6 Calculation Check'!H44</f>
        <v>ENTER WTS.</v>
      </c>
      <c r="C50" s="493" t="str">
        <f>'6 Calculation Check'!I44</f>
        <v>ENTER WTS.</v>
      </c>
      <c r="D50" s="493" t="str">
        <f>'6 Calculation Check'!J44</f>
        <v>ENTER WTS.</v>
      </c>
      <c r="E50" s="493" t="str">
        <f>'6 Calculation Check'!K44</f>
        <v>ENTER WTS.</v>
      </c>
      <c r="F50" s="493" t="str">
        <f>'6 Calculation Check'!L44</f>
        <v>ENTER WTS.</v>
      </c>
      <c r="G50" s="793" t="s">
        <v>247</v>
      </c>
      <c r="H50" s="793" t="s">
        <v>246</v>
      </c>
      <c r="I50" s="795"/>
      <c r="J50" s="795"/>
    </row>
    <row r="51" spans="1:18" ht="16.2" thickBot="1" x14ac:dyDescent="0.35">
      <c r="A51" s="420" t="s">
        <v>31</v>
      </c>
      <c r="B51" s="809" t="s">
        <v>226</v>
      </c>
      <c r="C51" s="810"/>
      <c r="D51" s="810"/>
      <c r="E51" s="810"/>
      <c r="F51" s="811"/>
      <c r="G51" s="794"/>
      <c r="H51" s="794"/>
      <c r="I51" s="795"/>
      <c r="J51" s="778"/>
    </row>
    <row r="52" spans="1:18" x14ac:dyDescent="0.3">
      <c r="A52" s="494" t="s">
        <v>34</v>
      </c>
      <c r="B52" s="495" t="str">
        <f>'6 Calculation Check'!H45</f>
        <v>-</v>
      </c>
      <c r="C52" s="495" t="str">
        <f>'6 Calculation Check'!I45</f>
        <v>-</v>
      </c>
      <c r="D52" s="495" t="str">
        <f>'6 Calculation Check'!J45</f>
        <v>-</v>
      </c>
      <c r="E52" s="496" t="str">
        <f>'6 Calculation Check'!K45</f>
        <v>-</v>
      </c>
      <c r="F52" s="496" t="str">
        <f>'6 Calculation Check'!L45</f>
        <v>-</v>
      </c>
      <c r="G52" s="497">
        <f>'6 Calculation Check'!G10</f>
        <v>100</v>
      </c>
      <c r="H52" s="498">
        <f>'6 Calculation Check'!H10</f>
        <v>100</v>
      </c>
      <c r="I52" s="499" t="str">
        <f>'6 Calculation Check'!I10</f>
        <v>GRAD. ERROR</v>
      </c>
      <c r="J52" s="500" t="str">
        <f>'6 Calculation Check'!J10</f>
        <v>VOL. ERROR</v>
      </c>
    </row>
    <row r="53" spans="1:18" x14ac:dyDescent="0.3">
      <c r="A53" s="501" t="s">
        <v>35</v>
      </c>
      <c r="B53" s="502" t="str">
        <f>'6 Calculation Check'!H46</f>
        <v>-</v>
      </c>
      <c r="C53" s="502" t="str">
        <f>'6 Calculation Check'!I46</f>
        <v>-</v>
      </c>
      <c r="D53" s="502" t="str">
        <f>'6 Calculation Check'!J46</f>
        <v>-</v>
      </c>
      <c r="E53" s="503" t="str">
        <f>'6 Calculation Check'!K46</f>
        <v>-</v>
      </c>
      <c r="F53" s="503" t="str">
        <f>'6 Calculation Check'!L46</f>
        <v>-</v>
      </c>
      <c r="G53" s="504">
        <f>'6 Calculation Check'!G11</f>
        <v>100</v>
      </c>
      <c r="H53" s="505">
        <f>'6 Calculation Check'!H11</f>
        <v>96</v>
      </c>
      <c r="I53" s="506" t="str">
        <f>'6 Calculation Check'!I11</f>
        <v>GRAD. ERROR</v>
      </c>
      <c r="J53" s="500" t="str">
        <f>'6 Calculation Check'!J11</f>
        <v>VOL. ERROR</v>
      </c>
      <c r="O53" s="290"/>
      <c r="P53" s="290"/>
      <c r="Q53" s="290"/>
      <c r="R53" s="290"/>
    </row>
    <row r="54" spans="1:18" x14ac:dyDescent="0.3">
      <c r="A54" s="501" t="s">
        <v>36</v>
      </c>
      <c r="B54" s="502" t="str">
        <f>'6 Calculation Check'!H47</f>
        <v>-</v>
      </c>
      <c r="C54" s="502" t="str">
        <f>'6 Calculation Check'!I47</f>
        <v>-</v>
      </c>
      <c r="D54" s="502" t="str">
        <f>'6 Calculation Check'!J47</f>
        <v>-</v>
      </c>
      <c r="E54" s="503" t="str">
        <f>'6 Calculation Check'!K47</f>
        <v>-</v>
      </c>
      <c r="F54" s="503" t="str">
        <f>'6 Calculation Check'!L47</f>
        <v>-</v>
      </c>
      <c r="G54" s="504">
        <f>'6 Calculation Check'!G12</f>
        <v>99</v>
      </c>
      <c r="H54" s="505">
        <f>'6 Calculation Check'!H12</f>
        <v>70</v>
      </c>
      <c r="I54" s="506" t="str">
        <f>'6 Calculation Check'!I12</f>
        <v>GRAD. ERROR</v>
      </c>
      <c r="J54" s="500" t="str">
        <f>'6 Calculation Check'!J12</f>
        <v>VOL. ERROR</v>
      </c>
      <c r="O54" s="343"/>
      <c r="P54" s="343"/>
      <c r="Q54" s="343"/>
    </row>
    <row r="55" spans="1:18" x14ac:dyDescent="0.3">
      <c r="A55" s="501" t="s">
        <v>37</v>
      </c>
      <c r="B55" s="502" t="str">
        <f>'6 Calculation Check'!H48</f>
        <v>-</v>
      </c>
      <c r="C55" s="502" t="str">
        <f>'6 Calculation Check'!I48</f>
        <v>-</v>
      </c>
      <c r="D55" s="502" t="str">
        <f>'6 Calculation Check'!J48</f>
        <v>-</v>
      </c>
      <c r="E55" s="503" t="str">
        <f>'6 Calculation Check'!K48</f>
        <v>-</v>
      </c>
      <c r="F55" s="503" t="str">
        <f>'6 Calculation Check'!L48</f>
        <v>-</v>
      </c>
      <c r="G55" s="504">
        <f>'6 Calculation Check'!G13</f>
        <v>96</v>
      </c>
      <c r="H55" s="505">
        <f>'6 Calculation Check'!H13</f>
        <v>55</v>
      </c>
      <c r="I55" s="506" t="str">
        <f>'6 Calculation Check'!I13</f>
        <v>GRAD. ERROR</v>
      </c>
      <c r="J55" s="500" t="str">
        <f>'6 Calculation Check'!J13</f>
        <v>VOL. ERROR</v>
      </c>
      <c r="O55" s="309"/>
      <c r="P55" s="309"/>
      <c r="Q55" s="309"/>
    </row>
    <row r="56" spans="1:18" x14ac:dyDescent="0.3">
      <c r="A56" s="501" t="s">
        <v>38</v>
      </c>
      <c r="B56" s="502" t="str">
        <f>'6 Calculation Check'!H49</f>
        <v>-</v>
      </c>
      <c r="C56" s="502" t="str">
        <f>'6 Calculation Check'!I49</f>
        <v>-</v>
      </c>
      <c r="D56" s="502" t="str">
        <f>'6 Calculation Check'!J49</f>
        <v>-</v>
      </c>
      <c r="E56" s="503" t="str">
        <f>'6 Calculation Check'!K49</f>
        <v>-</v>
      </c>
      <c r="F56" s="503" t="str">
        <f>'6 Calculation Check'!L49</f>
        <v>-</v>
      </c>
      <c r="G56" s="504">
        <f>'6 Calculation Check'!G14</f>
        <v>86</v>
      </c>
      <c r="H56" s="505">
        <f>'6 Calculation Check'!H14</f>
        <v>48</v>
      </c>
      <c r="I56" s="506" t="str">
        <f>'6 Calculation Check'!I14</f>
        <v>GRAD. ERROR</v>
      </c>
      <c r="J56" s="500" t="str">
        <f>'6 Calculation Check'!J14</f>
        <v>VOL. ERROR</v>
      </c>
      <c r="P56" s="309"/>
      <c r="Q56" s="309"/>
    </row>
    <row r="57" spans="1:18" ht="16.2" customHeight="1" x14ac:dyDescent="0.3">
      <c r="A57" s="501" t="s">
        <v>39</v>
      </c>
      <c r="B57" s="502" t="str">
        <f>'6 Calculation Check'!H50</f>
        <v>-</v>
      </c>
      <c r="C57" s="502" t="str">
        <f>'6 Calculation Check'!I50</f>
        <v>-</v>
      </c>
      <c r="D57" s="502" t="str">
        <f>'6 Calculation Check'!J50</f>
        <v>-</v>
      </c>
      <c r="E57" s="503" t="str">
        <f>'6 Calculation Check'!K50</f>
        <v>-</v>
      </c>
      <c r="F57" s="503" t="str">
        <f>'6 Calculation Check'!L50</f>
        <v>-</v>
      </c>
      <c r="G57" s="504">
        <f>'6 Calculation Check'!G15</f>
        <v>77</v>
      </c>
      <c r="H57" s="505">
        <f>'6 Calculation Check'!H15</f>
        <v>38</v>
      </c>
      <c r="I57" s="506" t="str">
        <f>'6 Calculation Check'!I15</f>
        <v>GRAD. ERROR</v>
      </c>
      <c r="J57" s="500" t="str">
        <f>'6 Calculation Check'!J15</f>
        <v>VOL. ERROR</v>
      </c>
    </row>
    <row r="58" spans="1:18" ht="16.2" customHeight="1" x14ac:dyDescent="0.3">
      <c r="A58" s="501" t="s">
        <v>40</v>
      </c>
      <c r="B58" s="502" t="str">
        <f>'6 Calculation Check'!H51</f>
        <v>-</v>
      </c>
      <c r="C58" s="502" t="str">
        <f>'6 Calculation Check'!I51</f>
        <v>-</v>
      </c>
      <c r="D58" s="502" t="str">
        <f>'6 Calculation Check'!J51</f>
        <v>-</v>
      </c>
      <c r="E58" s="503" t="str">
        <f>'6 Calculation Check'!K51</f>
        <v>-</v>
      </c>
      <c r="F58" s="503" t="str">
        <f>'6 Calculation Check'!L51</f>
        <v>-</v>
      </c>
      <c r="G58" s="504">
        <f>'6 Calculation Check'!G16</f>
        <v>60</v>
      </c>
      <c r="H58" s="505">
        <f>'6 Calculation Check'!H16</f>
        <v>30</v>
      </c>
      <c r="I58" s="506" t="str">
        <f>'6 Calculation Check'!I16</f>
        <v>GRAD. ERROR</v>
      </c>
      <c r="J58" s="500" t="str">
        <f>'6 Calculation Check'!J16</f>
        <v>VOL. ERROR</v>
      </c>
    </row>
    <row r="59" spans="1:18" ht="16.2" customHeight="1" x14ac:dyDescent="0.3">
      <c r="A59" s="501" t="s">
        <v>41</v>
      </c>
      <c r="B59" s="502" t="str">
        <f>'6 Calculation Check'!H52</f>
        <v>-</v>
      </c>
      <c r="C59" s="502" t="str">
        <f>'6 Calculation Check'!I52</f>
        <v>-</v>
      </c>
      <c r="D59" s="502" t="str">
        <f>'6 Calculation Check'!J52</f>
        <v>-</v>
      </c>
      <c r="E59" s="503" t="str">
        <f>'6 Calculation Check'!K52</f>
        <v>-</v>
      </c>
      <c r="F59" s="503" t="str">
        <f>'6 Calculation Check'!L52</f>
        <v>-</v>
      </c>
      <c r="G59" s="504">
        <f>'6 Calculation Check'!G17</f>
        <v>53</v>
      </c>
      <c r="H59" s="505">
        <f>'6 Calculation Check'!H17</f>
        <v>25</v>
      </c>
      <c r="I59" s="506" t="str">
        <f>'6 Calculation Check'!I17</f>
        <v>GRAD. ERROR</v>
      </c>
      <c r="J59" s="500" t="str">
        <f>'6 Calculation Check'!J17</f>
        <v>VOL. ERROR</v>
      </c>
    </row>
    <row r="60" spans="1:18" x14ac:dyDescent="0.3">
      <c r="A60" s="501" t="s">
        <v>42</v>
      </c>
      <c r="B60" s="502" t="str">
        <f>'6 Calculation Check'!H53</f>
        <v>-</v>
      </c>
      <c r="C60" s="502" t="str">
        <f>'6 Calculation Check'!I53</f>
        <v>-</v>
      </c>
      <c r="D60" s="502" t="str">
        <f>'6 Calculation Check'!J53</f>
        <v>-</v>
      </c>
      <c r="E60" s="503" t="str">
        <f>'6 Calculation Check'!K53</f>
        <v>-</v>
      </c>
      <c r="F60" s="503" t="str">
        <f>'6 Calculation Check'!L53</f>
        <v>-</v>
      </c>
      <c r="G60" s="504">
        <f>'6 Calculation Check'!G18</f>
        <v>44</v>
      </c>
      <c r="H60" s="505">
        <f>'6 Calculation Check'!H18</f>
        <v>20</v>
      </c>
      <c r="I60" s="506" t="str">
        <f>'6 Calculation Check'!I18</f>
        <v>GRAD. ERROR</v>
      </c>
      <c r="J60" s="500" t="str">
        <f>'6 Calculation Check'!J18</f>
        <v>VOL. ERROR</v>
      </c>
    </row>
    <row r="61" spans="1:18" x14ac:dyDescent="0.3">
      <c r="A61" s="501" t="s">
        <v>43</v>
      </c>
      <c r="B61" s="502" t="str">
        <f>'6 Calculation Check'!H54</f>
        <v>-</v>
      </c>
      <c r="C61" s="502" t="str">
        <f>'6 Calculation Check'!I54</f>
        <v>-</v>
      </c>
      <c r="D61" s="502" t="str">
        <f>'6 Calculation Check'!J54</f>
        <v>-</v>
      </c>
      <c r="E61" s="503" t="str">
        <f>'6 Calculation Check'!K54</f>
        <v>-</v>
      </c>
      <c r="F61" s="503" t="str">
        <f>'6 Calculation Check'!L54</f>
        <v>-</v>
      </c>
      <c r="G61" s="504">
        <f>'6 Calculation Check'!G19</f>
        <v>32</v>
      </c>
      <c r="H61" s="505">
        <f>'6 Calculation Check'!H19</f>
        <v>10</v>
      </c>
      <c r="I61" s="506" t="str">
        <f>'6 Calculation Check'!I19</f>
        <v>GRAD. ERROR</v>
      </c>
      <c r="J61" s="500" t="str">
        <f>'6 Calculation Check'!J19</f>
        <v>VOL. ERROR</v>
      </c>
    </row>
    <row r="62" spans="1:18" x14ac:dyDescent="0.3">
      <c r="A62" s="501" t="s">
        <v>44</v>
      </c>
      <c r="B62" s="502" t="str">
        <f>'6 Calculation Check'!H55</f>
        <v>-</v>
      </c>
      <c r="C62" s="502" t="str">
        <f>'6 Calculation Check'!I55</f>
        <v>-</v>
      </c>
      <c r="D62" s="502" t="str">
        <f>'6 Calculation Check'!J55</f>
        <v>-</v>
      </c>
      <c r="E62" s="503" t="str">
        <f>'6 Calculation Check'!K55</f>
        <v>-</v>
      </c>
      <c r="F62" s="503" t="str">
        <f>'6 Calculation Check'!L55</f>
        <v>-</v>
      </c>
      <c r="G62" s="504">
        <f>'6 Calculation Check'!G20</f>
        <v>14</v>
      </c>
      <c r="H62" s="505">
        <f>'6 Calculation Check'!H20</f>
        <v>2</v>
      </c>
      <c r="I62" s="506" t="str">
        <f>'6 Calculation Check'!I20</f>
        <v>GRAD. ERROR</v>
      </c>
      <c r="J62" s="500" t="str">
        <f>'6 Calculation Check'!J20</f>
        <v>VOL. ERROR</v>
      </c>
    </row>
    <row r="63" spans="1:18" x14ac:dyDescent="0.3">
      <c r="A63" s="501" t="s">
        <v>45</v>
      </c>
      <c r="B63" s="502" t="str">
        <f>'6 Calculation Check'!H56</f>
        <v>-</v>
      </c>
      <c r="C63" s="502" t="str">
        <f>'6 Calculation Check'!I56</f>
        <v>-</v>
      </c>
      <c r="D63" s="502" t="str">
        <f>'6 Calculation Check'!J56</f>
        <v>-</v>
      </c>
      <c r="E63" s="503" t="str">
        <f>'6 Calculation Check'!K56</f>
        <v>-</v>
      </c>
      <c r="F63" s="503" t="str">
        <f>'6 Calculation Check'!L56</f>
        <v>-</v>
      </c>
      <c r="G63" s="504">
        <f>'6 Calculation Check'!G21</f>
        <v>6</v>
      </c>
      <c r="H63" s="505">
        <f>'6 Calculation Check'!H21</f>
        <v>0</v>
      </c>
      <c r="I63" s="506" t="str">
        <f>'6 Calculation Check'!I21</f>
        <v>GRAD. ERROR</v>
      </c>
      <c r="J63" s="500" t="str">
        <f>'6 Calculation Check'!J21</f>
        <v>VOL. ERROR</v>
      </c>
    </row>
    <row r="64" spans="1:18" ht="16.2" thickBot="1" x14ac:dyDescent="0.35">
      <c r="A64" s="507" t="s">
        <v>46</v>
      </c>
      <c r="B64" s="508" t="str">
        <f>'6 Calculation Check'!H57</f>
        <v>-</v>
      </c>
      <c r="C64" s="508" t="str">
        <f>'6 Calculation Check'!I57</f>
        <v>-</v>
      </c>
      <c r="D64" s="508" t="str">
        <f>'6 Calculation Check'!J57</f>
        <v>-</v>
      </c>
      <c r="E64" s="509" t="str">
        <f>'6 Calculation Check'!K57</f>
        <v>-</v>
      </c>
      <c r="F64" s="509" t="str">
        <f>'6 Calculation Check'!L57</f>
        <v>-</v>
      </c>
      <c r="G64" s="510">
        <f>'6 Calculation Check'!G22</f>
        <v>2.2999999999999998</v>
      </c>
      <c r="H64" s="511">
        <f>'6 Calculation Check'!H22</f>
        <v>0</v>
      </c>
      <c r="I64" s="512" t="str">
        <f>'6 Calculation Check'!I22</f>
        <v>GRAD. ERROR</v>
      </c>
      <c r="J64" s="513" t="str">
        <f>'6 Calculation Check'!J22</f>
        <v>VOL. ERROR</v>
      </c>
    </row>
    <row r="65" spans="3:22" ht="16.2" thickBot="1" x14ac:dyDescent="0.35">
      <c r="C65" s="806" t="s">
        <v>237</v>
      </c>
      <c r="D65" s="807"/>
      <c r="E65" s="808"/>
      <c r="F65" s="514" t="e">
        <f>'5 Agg Analysis'!AK21</f>
        <v>#DIV/0!</v>
      </c>
    </row>
    <row r="72" spans="3:22" x14ac:dyDescent="0.3">
      <c r="N72" s="290"/>
      <c r="O72" s="290"/>
      <c r="P72" s="290"/>
      <c r="Q72" s="290"/>
      <c r="R72" s="290"/>
      <c r="S72" s="290"/>
      <c r="T72" s="290"/>
      <c r="U72" s="290"/>
      <c r="V72" s="290"/>
    </row>
    <row r="73" spans="3:22" x14ac:dyDescent="0.3">
      <c r="P73" s="316"/>
      <c r="Q73" s="309"/>
      <c r="R73" s="309"/>
      <c r="S73" s="309"/>
      <c r="T73" s="309"/>
      <c r="U73" s="316"/>
      <c r="V73" s="316"/>
    </row>
    <row r="74" spans="3:22" ht="15.6" customHeight="1" x14ac:dyDescent="0.3">
      <c r="N74" s="515"/>
      <c r="O74" s="515"/>
      <c r="P74" s="309"/>
      <c r="Q74" s="309"/>
      <c r="R74" s="309"/>
      <c r="S74" s="309"/>
      <c r="T74" s="309"/>
      <c r="U74" s="516"/>
      <c r="V74" s="347"/>
    </row>
    <row r="75" spans="3:22" ht="15.6" customHeight="1" x14ac:dyDescent="0.3">
      <c r="N75" s="515"/>
      <c r="O75" s="515"/>
      <c r="P75" s="309"/>
      <c r="Q75" s="309"/>
      <c r="R75" s="309"/>
      <c r="S75" s="309"/>
      <c r="T75" s="309"/>
      <c r="U75" s="516"/>
      <c r="V75" s="347"/>
    </row>
    <row r="76" spans="3:22" ht="15.6" customHeight="1" x14ac:dyDescent="0.3">
      <c r="N76" s="515"/>
      <c r="O76" s="515"/>
      <c r="P76" s="316"/>
      <c r="Q76" s="309"/>
      <c r="R76" s="309"/>
      <c r="S76" s="309"/>
      <c r="T76" s="309"/>
      <c r="U76" s="467"/>
      <c r="V76" s="392"/>
    </row>
    <row r="77" spans="3:22" x14ac:dyDescent="0.3">
      <c r="N77" s="346"/>
      <c r="O77" s="346"/>
      <c r="P77" s="346"/>
      <c r="Q77" s="346"/>
    </row>
    <row r="78" spans="3:22" x14ac:dyDescent="0.3">
      <c r="N78" s="373"/>
      <c r="O78" s="373"/>
      <c r="P78" s="373"/>
      <c r="Q78" s="373"/>
    </row>
    <row r="79" spans="3:22" x14ac:dyDescent="0.3">
      <c r="N79" s="347"/>
      <c r="O79" s="517"/>
      <c r="P79" s="517"/>
      <c r="Q79" s="517"/>
    </row>
    <row r="80" spans="3:22" x14ac:dyDescent="0.3">
      <c r="N80" s="347"/>
      <c r="O80" s="517"/>
      <c r="P80" s="517"/>
      <c r="Q80" s="517"/>
    </row>
    <row r="81" spans="14:17" x14ac:dyDescent="0.3">
      <c r="N81" s="518"/>
      <c r="O81" s="519"/>
      <c r="P81" s="520"/>
      <c r="Q81" s="392"/>
    </row>
    <row r="82" spans="14:17" x14ac:dyDescent="0.3">
      <c r="N82" s="518"/>
      <c r="O82" s="432"/>
      <c r="P82" s="520"/>
      <c r="Q82" s="392"/>
    </row>
    <row r="83" spans="14:17" x14ac:dyDescent="0.3">
      <c r="N83" s="518"/>
      <c r="O83" s="432"/>
      <c r="P83" s="520"/>
      <c r="Q83" s="392"/>
    </row>
    <row r="84" spans="14:17" x14ac:dyDescent="0.3">
      <c r="N84" s="518"/>
      <c r="O84" s="432"/>
      <c r="P84" s="520"/>
      <c r="Q84" s="392"/>
    </row>
    <row r="85" spans="14:17" x14ac:dyDescent="0.3">
      <c r="N85" s="518"/>
      <c r="O85" s="432"/>
      <c r="P85" s="520"/>
      <c r="Q85" s="392"/>
    </row>
    <row r="86" spans="14:17" x14ac:dyDescent="0.3">
      <c r="N86" s="518"/>
      <c r="O86" s="432"/>
      <c r="P86" s="520"/>
      <c r="Q86" s="392"/>
    </row>
    <row r="87" spans="14:17" x14ac:dyDescent="0.3">
      <c r="N87" s="518"/>
      <c r="O87" s="432"/>
      <c r="P87" s="520"/>
      <c r="Q87" s="392"/>
    </row>
    <row r="88" spans="14:17" x14ac:dyDescent="0.3">
      <c r="N88" s="518"/>
      <c r="O88" s="432"/>
      <c r="P88" s="520"/>
      <c r="Q88" s="392"/>
    </row>
    <row r="89" spans="14:17" x14ac:dyDescent="0.3">
      <c r="N89" s="518"/>
      <c r="O89" s="432"/>
      <c r="P89" s="520"/>
      <c r="Q89" s="392"/>
    </row>
    <row r="90" spans="14:17" x14ac:dyDescent="0.3">
      <c r="N90" s="518"/>
      <c r="O90" s="432"/>
      <c r="P90" s="520"/>
      <c r="Q90" s="392"/>
    </row>
    <row r="91" spans="14:17" x14ac:dyDescent="0.3">
      <c r="N91" s="518"/>
      <c r="O91" s="432"/>
      <c r="P91" s="520"/>
      <c r="Q91" s="392"/>
    </row>
    <row r="92" spans="14:17" x14ac:dyDescent="0.3">
      <c r="N92" s="518"/>
      <c r="O92" s="432"/>
      <c r="P92" s="520"/>
      <c r="Q92" s="392"/>
    </row>
    <row r="93" spans="14:17" x14ac:dyDescent="0.3">
      <c r="N93" s="518"/>
      <c r="O93" s="432"/>
      <c r="P93" s="520"/>
      <c r="Q93" s="392"/>
    </row>
  </sheetData>
  <sheetProtection selectLockedCells="1"/>
  <mergeCells count="65">
    <mergeCell ref="A1:D1"/>
    <mergeCell ref="E1:I1"/>
    <mergeCell ref="A2:I2"/>
    <mergeCell ref="A3:G3"/>
    <mergeCell ref="C65:E65"/>
    <mergeCell ref="A48:A49"/>
    <mergeCell ref="B51:F51"/>
    <mergeCell ref="A33:B33"/>
    <mergeCell ref="B47:F47"/>
    <mergeCell ref="A46:J46"/>
    <mergeCell ref="A34:B34"/>
    <mergeCell ref="A35:B35"/>
    <mergeCell ref="A36:B36"/>
    <mergeCell ref="A37:B37"/>
    <mergeCell ref="A38:B38"/>
    <mergeCell ref="G47:J47"/>
    <mergeCell ref="G48:H49"/>
    <mergeCell ref="G50:G51"/>
    <mergeCell ref="H50:H51"/>
    <mergeCell ref="I48:I51"/>
    <mergeCell ref="J9:K9"/>
    <mergeCell ref="J10:K10"/>
    <mergeCell ref="J48:J51"/>
    <mergeCell ref="F14:F15"/>
    <mergeCell ref="H11:I11"/>
    <mergeCell ref="A11:G11"/>
    <mergeCell ref="E8:I8"/>
    <mergeCell ref="A9:D9"/>
    <mergeCell ref="E9:I9"/>
    <mergeCell ref="H14:H15"/>
    <mergeCell ref="G14:G15"/>
    <mergeCell ref="B14:C15"/>
    <mergeCell ref="A14:A15"/>
    <mergeCell ref="D14:D15"/>
    <mergeCell ref="E14:E15"/>
    <mergeCell ref="A13:H13"/>
    <mergeCell ref="A32:B32"/>
    <mergeCell ref="B26:C26"/>
    <mergeCell ref="B27:C27"/>
    <mergeCell ref="A28:C28"/>
    <mergeCell ref="A31:B31"/>
    <mergeCell ref="A30:D30"/>
    <mergeCell ref="B16:C16"/>
    <mergeCell ref="B17:C17"/>
    <mergeCell ref="B18:C18"/>
    <mergeCell ref="B24:C24"/>
    <mergeCell ref="B25:C25"/>
    <mergeCell ref="B19:C19"/>
    <mergeCell ref="B20:C20"/>
    <mergeCell ref="B21:C21"/>
    <mergeCell ref="B22:C22"/>
    <mergeCell ref="B23:C23"/>
    <mergeCell ref="A4:B4"/>
    <mergeCell ref="C4:D4"/>
    <mergeCell ref="E4:G4"/>
    <mergeCell ref="H4:I4"/>
    <mergeCell ref="A5:B5"/>
    <mergeCell ref="C5:D5"/>
    <mergeCell ref="E5:G5"/>
    <mergeCell ref="H5:I5"/>
    <mergeCell ref="A6:D6"/>
    <mergeCell ref="E6:I6"/>
    <mergeCell ref="A7:D7"/>
    <mergeCell ref="E7:I7"/>
    <mergeCell ref="A8:D8"/>
  </mergeCells>
  <conditionalFormatting sqref="B50:F50">
    <cfRule type="cellIs" dxfId="85" priority="1" operator="equal">
      <formula>"ENTER WTS."</formula>
    </cfRule>
    <cfRule type="cellIs" dxfId="84" priority="13" operator="equal">
      <formula>"GRAD. ?"</formula>
    </cfRule>
    <cfRule type="cellIs" dxfId="83" priority="10" operator="equal">
      <formula>"VOL. ERROR"</formula>
    </cfRule>
  </conditionalFormatting>
  <conditionalFormatting sqref="B52:F64">
    <cfRule type="cellIs" dxfId="82" priority="8" operator="equal">
      <formula>"AGG. ERROR"</formula>
    </cfRule>
  </conditionalFormatting>
  <conditionalFormatting sqref="C31">
    <cfRule type="cellIs" dxfId="79" priority="46" operator="equal">
      <formula>"CM ERROR"</formula>
    </cfRule>
  </conditionalFormatting>
  <conditionalFormatting sqref="C38">
    <cfRule type="cellIs" dxfId="78" priority="21" operator="equal">
      <formula>"W/CM ERROR"</formula>
    </cfRule>
  </conditionalFormatting>
  <conditionalFormatting sqref="D21">
    <cfRule type="cellIs" priority="42" operator="notEqual">
      <formula>"ERROR"</formula>
    </cfRule>
    <cfRule type="cellIs" dxfId="77" priority="43" operator="equal">
      <formula>"CM ERROR"</formula>
    </cfRule>
  </conditionalFormatting>
  <conditionalFormatting sqref="D26">
    <cfRule type="cellIs" dxfId="76" priority="20" operator="equal">
      <formula>"W/CM ERROR"</formula>
    </cfRule>
  </conditionalFormatting>
  <conditionalFormatting sqref="D27">
    <cfRule type="cellIs" dxfId="75" priority="18" operator="equal">
      <formula>"VOL. AIR?"</formula>
    </cfRule>
  </conditionalFormatting>
  <conditionalFormatting sqref="D38">
    <cfRule type="cellIs" dxfId="74" priority="23" operator="equal">
      <formula>"FAIL"</formula>
    </cfRule>
    <cfRule type="cellIs" dxfId="73" priority="24" operator="equal">
      <formula>"PASS"</formula>
    </cfRule>
    <cfRule type="cellIs" dxfId="72" priority="22" operator="equal">
      <formula>"CONST. ERROR"</formula>
    </cfRule>
  </conditionalFormatting>
  <conditionalFormatting sqref="F16:F20">
    <cfRule type="cellIs" dxfId="71" priority="2" operator="equal">
      <formula>"ENTER WTS."</formula>
    </cfRule>
    <cfRule type="cellIs" dxfId="70" priority="11" operator="equal">
      <formula>"VOL. ERROR"</formula>
    </cfRule>
    <cfRule type="cellIs" dxfId="69" priority="12" operator="equal">
      <formula>"GRAD. ?"</formula>
    </cfRule>
  </conditionalFormatting>
  <conditionalFormatting sqref="G16:G24">
    <cfRule type="cellIs" dxfId="68" priority="9" operator="equal">
      <formula>"SG?"</formula>
    </cfRule>
  </conditionalFormatting>
  <conditionalFormatting sqref="G21:H25">
    <cfRule type="cellIs" dxfId="67" priority="7" operator="equal">
      <formula>"ERROR: &gt;30%"</formula>
    </cfRule>
  </conditionalFormatting>
  <conditionalFormatting sqref="G52:J64">
    <cfRule type="cellIs" dxfId="66" priority="26" operator="equal">
      <formula>"ERROR"</formula>
    </cfRule>
  </conditionalFormatting>
  <conditionalFormatting sqref="H21:H28">
    <cfRule type="cellIs" dxfId="65" priority="35" operator="equal">
      <formula>"CM ERROR"</formula>
    </cfRule>
  </conditionalFormatting>
  <conditionalFormatting sqref="H26">
    <cfRule type="cellIs" dxfId="64" priority="6" operator="equal">
      <formula>"W/CM ERROR"</formula>
    </cfRule>
  </conditionalFormatting>
  <conditionalFormatting sqref="H27">
    <cfRule type="cellIs" dxfId="63" priority="4" operator="equal">
      <formula>"AIR ?"</formula>
    </cfRule>
  </conditionalFormatting>
  <conditionalFormatting sqref="H28">
    <cfRule type="cellIs" dxfId="62" priority="3" operator="equal">
      <formula>"ENTER WTS."</formula>
    </cfRule>
    <cfRule type="cellIs" dxfId="61" priority="16" operator="notBetween">
      <formula>27.15</formula>
      <formula>27.25</formula>
    </cfRule>
    <cfRule type="cellIs" dxfId="60" priority="44" operator="between">
      <formula>27.15</formula>
      <formula>27.25</formula>
    </cfRule>
  </conditionalFormatting>
  <conditionalFormatting sqref="I52:I64">
    <cfRule type="cellIs" dxfId="59" priority="25" operator="equal">
      <formula>"GRAD. ERROR"</formula>
    </cfRule>
  </conditionalFormatting>
  <conditionalFormatting sqref="I52:J64">
    <cfRule type="cellIs" dxfId="58" priority="14" operator="equal">
      <formula>"AGG. ERROR"</formula>
    </cfRule>
  </conditionalFormatting>
  <conditionalFormatting sqref="J52:J64">
    <cfRule type="cellIs" dxfId="57" priority="5" operator="equal">
      <formula>"W/CM ERROR"</formula>
    </cfRule>
    <cfRule type="cellIs" dxfId="56" priority="19" operator="equal">
      <formula>"VOL. ERROR"</formula>
    </cfRule>
    <cfRule type="cellIs" dxfId="55" priority="29" operator="equal">
      <formula>"CM ERROR"</formula>
    </cfRule>
    <cfRule type="cellIs" dxfId="54" priority="30" operator="equal">
      <formula>"Fail"</formula>
    </cfRule>
    <cfRule type="cellIs" dxfId="53" priority="31" operator="equal">
      <formula>"Pass"</formula>
    </cfRule>
  </conditionalFormatting>
  <printOptions verticalCentered="1"/>
  <pageMargins left="0.25" right="0.25" top="0.5" bottom="0.5" header="0.3" footer="0.3"/>
  <pageSetup scale="49" fitToWidth="0" fitToHeight="0" orientation="landscape" r:id="rId1"/>
  <headerFooter>
    <oddFooter>&amp;L&amp;9&amp;A&amp;C&amp;9&amp;P of &amp;N&amp;R&amp;9&amp;F</oddFooter>
  </headerFooter>
  <drawing r:id="rId2"/>
  <extLst>
    <ext xmlns:x14="http://schemas.microsoft.com/office/spreadsheetml/2009/9/main" uri="{78C0D931-6437-407d-A8EE-F0AAD7539E65}">
      <x14:conditionalFormattings>
        <x14:conditionalFormatting xmlns:xm="http://schemas.microsoft.com/office/excel/2006/main">
          <x14:cfRule type="cellIs" priority="60" operator="lessThan" id="{B4555319-2404-43F6-8D14-87F22C82BF79}">
            <xm:f>'3 Paste Quality'!$C$27</xm:f>
            <x14:dxf>
              <fill>
                <patternFill>
                  <bgColor rgb="FFFF0000"/>
                </patternFill>
              </fill>
            </x14:dxf>
          </x14:cfRule>
          <x14:cfRule type="cellIs" priority="61" operator="greaterThanOrEqual" id="{AC7FD8B2-4FF6-4FC7-8986-64BE58E8DFC8}">
            <xm:f>'3 Paste Quality'!$C$27</xm:f>
            <x14:dxf>
              <fill>
                <patternFill>
                  <bgColor rgb="FF90EE90"/>
                </patternFill>
              </fill>
            </x14:dxf>
          </x14:cfRule>
          <xm:sqref>C31</xm:sqref>
        </x14:conditionalFormatting>
      </x14:conditionalFormattings>
    </ext>
    <ext xmlns:x14="http://schemas.microsoft.com/office/spreadsheetml/2009/9/main" uri="{CCE6A557-97BC-4b89-ADB6-D9C93CAAB3DF}">
      <x14:dataValidations xmlns:xm="http://schemas.microsoft.com/office/excel/2006/main" count="2">
        <x14:dataValidation type="list" errorStyle="warning" showInputMessage="1" showErrorMessage="1" errorTitle="WARNING" error="Please use drop down menu to fill in the cell." xr:uid="{D6AA780E-CB1E-4FD4-BA1D-5CB847BE626F}">
          <x14:formula1>
            <xm:f>'5 Agg Analysis'!$AG$43:$AG$47</xm:f>
          </x14:formula1>
          <xm:sqref>N74:O76</xm:sqref>
        </x14:dataValidation>
        <x14:dataValidation type="list" allowBlank="1" showInputMessage="1" showErrorMessage="1" errorTitle="Error" error="Use drop down menu to select the number of coarse aggregates being used in the mixture._x000a__x000a_No. 1 Only Mixtures: Select 1 CA_x000a_No. 2 and No. 1 Standard Mixtures: Select 2+ CA" xr:uid="{3DF2BA77-D886-484F-AD31-6093F364019D}">
          <x14:formula1>
            <xm:f>'5 Agg Analysis'!$AJ$44:$AJ$45</xm:f>
          </x14:formula1>
          <xm:sqref>H11:I11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7DC4-05AB-49B9-983C-1A9A7FAB2DBF}">
  <dimension ref="A1:V93"/>
  <sheetViews>
    <sheetView showGridLines="0" zoomScale="80" zoomScaleNormal="80" zoomScaleSheetLayoutView="85" workbookViewId="0">
      <selection activeCell="I15" activeCellId="1" sqref="K9:K15 I15"/>
    </sheetView>
  </sheetViews>
  <sheetFormatPr defaultColWidth="8.6640625" defaultRowHeight="15.6" x14ac:dyDescent="0.3"/>
  <cols>
    <col min="1" max="1" width="19.44140625" style="447" customWidth="1"/>
    <col min="2" max="2" width="18.88671875" style="447" customWidth="1"/>
    <col min="3" max="3" width="15.44140625" style="447" customWidth="1"/>
    <col min="4" max="4" width="16.6640625" style="447" customWidth="1"/>
    <col min="5" max="5" width="14.44140625" style="447" customWidth="1"/>
    <col min="6" max="6" width="13.5546875" style="447" bestFit="1" customWidth="1"/>
    <col min="7" max="7" width="14.88671875" style="447" customWidth="1"/>
    <col min="8" max="8" width="15" style="447" customWidth="1"/>
    <col min="9" max="9" width="20.6640625" style="447" bestFit="1" customWidth="1"/>
    <col min="10" max="10" width="12.33203125" style="447" bestFit="1" customWidth="1"/>
    <col min="11" max="11" width="16.88671875" style="447" bestFit="1" customWidth="1"/>
    <col min="12" max="12" width="17.33203125" style="447" bestFit="1" customWidth="1"/>
    <col min="13" max="13" width="13.6640625" style="447" customWidth="1"/>
    <col min="14" max="14" width="8.5546875" style="447" hidden="1" customWidth="1"/>
    <col min="15" max="15" width="8.6640625" style="447"/>
    <col min="16" max="16" width="0" style="447" hidden="1" customWidth="1"/>
    <col min="17" max="17" width="16" style="447" hidden="1" customWidth="1"/>
    <col min="18" max="19" width="19.33203125" style="447" hidden="1" customWidth="1"/>
    <col min="20" max="20" width="18.6640625" style="447" hidden="1" customWidth="1"/>
    <col min="21" max="16384" width="8.6640625" style="447"/>
  </cols>
  <sheetData>
    <row r="1" spans="1:20" s="361" customFormat="1" ht="16.2" thickBot="1" x14ac:dyDescent="0.35">
      <c r="A1" s="1108" t="s">
        <v>389</v>
      </c>
      <c r="B1" s="1109"/>
      <c r="C1" s="1109"/>
      <c r="D1" s="1109"/>
      <c r="E1" s="1110" t="s">
        <v>387</v>
      </c>
      <c r="F1" s="1110"/>
      <c r="G1" s="1110"/>
      <c r="H1" s="1110"/>
      <c r="I1" s="1111"/>
    </row>
    <row r="2" spans="1:20" s="361" customFormat="1" x14ac:dyDescent="0.3">
      <c r="A2" s="1112" t="str">
        <f>Directions!A2</f>
        <v>DT2220     07/2022</v>
      </c>
      <c r="B2" s="1113"/>
      <c r="C2" s="1113"/>
      <c r="D2" s="1113"/>
      <c r="E2" s="1113"/>
      <c r="F2" s="1113"/>
      <c r="G2" s="1113"/>
      <c r="H2" s="1113"/>
      <c r="I2" s="1113"/>
    </row>
    <row r="3" spans="1:20" s="361" customFormat="1" ht="16.2" thickBot="1" x14ac:dyDescent="0.35">
      <c r="A3" s="401"/>
      <c r="B3" s="401"/>
      <c r="C3" s="401"/>
      <c r="D3" s="401"/>
      <c r="E3" s="401"/>
      <c r="F3" s="401"/>
      <c r="G3" s="401"/>
      <c r="H3" s="401"/>
      <c r="I3" s="582"/>
    </row>
    <row r="4" spans="1:20" s="361" customFormat="1" ht="16.2" thickBot="1" x14ac:dyDescent="0.35">
      <c r="A4" s="767" t="s">
        <v>364</v>
      </c>
      <c r="B4" s="768"/>
      <c r="C4" s="768"/>
      <c r="D4" s="768"/>
      <c r="E4" s="768"/>
      <c r="F4" s="768"/>
      <c r="G4" s="769"/>
      <c r="H4" s="765" t="s">
        <v>362</v>
      </c>
      <c r="I4" s="766"/>
    </row>
    <row r="5" spans="1:20" s="361" customFormat="1" ht="16.2" thickBot="1" x14ac:dyDescent="0.35">
      <c r="A5" s="401"/>
      <c r="B5" s="401"/>
      <c r="C5" s="401"/>
      <c r="D5" s="401"/>
      <c r="E5" s="401"/>
      <c r="F5" s="401"/>
      <c r="G5" s="401"/>
      <c r="H5" s="401"/>
      <c r="I5" s="401"/>
      <c r="P5" s="361" t="s">
        <v>2</v>
      </c>
    </row>
    <row r="6" spans="1:20" s="361" customFormat="1" ht="16.2" thickBot="1" x14ac:dyDescent="0.35">
      <c r="A6" s="760" t="s">
        <v>76</v>
      </c>
      <c r="B6" s="787"/>
      <c r="C6" s="787"/>
      <c r="D6" s="787"/>
      <c r="E6" s="787"/>
      <c r="F6" s="787"/>
      <c r="G6" s="787"/>
      <c r="H6" s="787"/>
      <c r="I6" s="787"/>
      <c r="J6" s="787"/>
      <c r="K6" s="788"/>
    </row>
    <row r="7" spans="1:20" s="361" customFormat="1" x14ac:dyDescent="0.3">
      <c r="A7" s="1117" t="s">
        <v>77</v>
      </c>
      <c r="B7" s="818" t="s">
        <v>231</v>
      </c>
      <c r="C7" s="819"/>
      <c r="D7" s="776" t="s">
        <v>424</v>
      </c>
      <c r="E7" s="775" t="s">
        <v>402</v>
      </c>
      <c r="F7" s="795" t="s">
        <v>27</v>
      </c>
      <c r="G7" s="776" t="s">
        <v>383</v>
      </c>
      <c r="H7" s="777" t="s">
        <v>77</v>
      </c>
      <c r="I7" s="1122" t="s">
        <v>402</v>
      </c>
      <c r="J7" s="777" t="s">
        <v>403</v>
      </c>
      <c r="K7" s="777" t="s">
        <v>383</v>
      </c>
    </row>
    <row r="8" spans="1:20" s="361" customFormat="1" ht="15.6" customHeight="1" thickBot="1" x14ac:dyDescent="0.35">
      <c r="A8" s="784"/>
      <c r="B8" s="781"/>
      <c r="C8" s="782"/>
      <c r="D8" s="776"/>
      <c r="E8" s="1107"/>
      <c r="F8" s="778"/>
      <c r="G8" s="776"/>
      <c r="H8" s="778"/>
      <c r="I8" s="1122"/>
      <c r="J8" s="778"/>
      <c r="K8" s="778"/>
      <c r="Q8" s="1118" t="s">
        <v>441</v>
      </c>
      <c r="R8" s="1119"/>
      <c r="S8" s="1119"/>
      <c r="T8" s="1120"/>
    </row>
    <row r="9" spans="1:20" s="361" customFormat="1" x14ac:dyDescent="0.3">
      <c r="A9" s="448" t="str">
        <f>'2 Aggregate System'!A13</f>
        <v>Coarse A</v>
      </c>
      <c r="B9" s="741" t="str">
        <f>IF('2 Aggregate System'!B13=0,"",'2 Aggregate System'!B13)</f>
        <v/>
      </c>
      <c r="C9" s="742"/>
      <c r="D9" s="609"/>
      <c r="E9" s="597" t="str">
        <f>IF(D9=0,"",(D9*$D$14)/100)</f>
        <v/>
      </c>
      <c r="F9" s="451">
        <f>'6 Calculation Check'!P5</f>
        <v>0</v>
      </c>
      <c r="G9" s="452" t="str">
        <f>'5 Agg Analysis'!AD91</f>
        <v>-</v>
      </c>
      <c r="H9" s="595" t="str">
        <f>'3 Paste Quality'!A13</f>
        <v>Cement</v>
      </c>
      <c r="I9" s="463" t="str" cm="1">
        <f t="array" ref="I9">IF(OR('3 Paste Quality'!$B$32=0,'3 Paste Quality'!B32&lt;500),"CM ERROR",ROUND('3 Paste Quality'!$B$32,0)-SUM(ROUND(I10:I13,0)))</f>
        <v>CM ERROR</v>
      </c>
      <c r="J9" s="464" t="str">
        <f>'6 Calculation Check'!P10</f>
        <v>SG?</v>
      </c>
      <c r="K9" s="719" t="str">
        <f>'6 Calculation Check'!G31</f>
        <v>CM ERROR</v>
      </c>
      <c r="L9" s="1105" t="str">
        <f>Directions!N9</f>
        <v>Version 2.0</v>
      </c>
      <c r="M9" s="1106"/>
      <c r="P9" s="361" t="s">
        <v>422</v>
      </c>
      <c r="Q9" s="1121" t="s">
        <v>341</v>
      </c>
      <c r="R9" s="1121"/>
      <c r="S9" s="1121"/>
      <c r="T9" s="1121" t="s">
        <v>340</v>
      </c>
    </row>
    <row r="10" spans="1:20" s="361" customFormat="1" x14ac:dyDescent="0.3">
      <c r="A10" s="454" t="str">
        <f>'2 Aggregate System'!A14</f>
        <v>Coarse B</v>
      </c>
      <c r="B10" s="741" t="str">
        <f>IF('2 Aggregate System'!B14=0,"",'2 Aggregate System'!B14)</f>
        <v/>
      </c>
      <c r="C10" s="742"/>
      <c r="D10" s="610"/>
      <c r="E10" s="598" t="str">
        <f t="shared" ref="E10:E13" si="0">IF(D10=0,"",(D10*$D$14)/100)</f>
        <v/>
      </c>
      <c r="F10" s="457">
        <f>'6 Calculation Check'!P6</f>
        <v>0</v>
      </c>
      <c r="G10" s="458" t="str">
        <f>'5 Agg Analysis'!AD92</f>
        <v>-</v>
      </c>
      <c r="H10" s="596" t="str">
        <f>'3 Paste Quality'!A14</f>
        <v>Fly Ash</v>
      </c>
      <c r="I10" s="469">
        <f>IF('3 Paste Quality'!B37=0,0,ROUND('3 Paste Quality'!B37*'3 Paste Quality'!$B$32/100,0))</f>
        <v>0</v>
      </c>
      <c r="J10" s="470">
        <f>'6 Calculation Check'!P11</f>
        <v>0</v>
      </c>
      <c r="K10" s="719" t="str">
        <f>'6 Calculation Check'!G32</f>
        <v>CM ERROR</v>
      </c>
      <c r="L10" s="445"/>
      <c r="M10" s="445"/>
      <c r="P10" s="361">
        <f>'5 Agg Analysis'!AI112</f>
        <v>45325.072500000002</v>
      </c>
      <c r="Q10" s="128" t="s">
        <v>442</v>
      </c>
      <c r="R10" s="128" t="s">
        <v>443</v>
      </c>
      <c r="S10" s="664" t="s">
        <v>218</v>
      </c>
      <c r="T10" s="1121"/>
    </row>
    <row r="11" spans="1:20" s="361" customFormat="1" x14ac:dyDescent="0.3">
      <c r="A11" s="454" t="str">
        <f>'2 Aggregate System'!A15</f>
        <v>Coarse C</v>
      </c>
      <c r="B11" s="741" t="str">
        <f>IF('2 Aggregate System'!B15=0,"",'2 Aggregate System'!B15)</f>
        <v/>
      </c>
      <c r="C11" s="742"/>
      <c r="D11" s="610"/>
      <c r="E11" s="598" t="str">
        <f t="shared" si="0"/>
        <v/>
      </c>
      <c r="F11" s="457">
        <f>'6 Calculation Check'!P7</f>
        <v>0</v>
      </c>
      <c r="G11" s="458" t="str">
        <f>'5 Agg Analysis'!AD93</f>
        <v>-</v>
      </c>
      <c r="H11" s="596" t="s">
        <v>70</v>
      </c>
      <c r="I11" s="469">
        <f>IF('3 Paste Quality'!B38=0,0,ROUND('3 Paste Quality'!B38*'3 Paste Quality'!$B$32/100,0))</f>
        <v>0</v>
      </c>
      <c r="J11" s="470">
        <f>'6 Calculation Check'!P12</f>
        <v>0</v>
      </c>
      <c r="K11" s="719" t="str">
        <f>'6 Calculation Check'!G33</f>
        <v>CM ERROR</v>
      </c>
      <c r="L11" s="445"/>
      <c r="M11" s="445"/>
      <c r="P11" s="361" t="s">
        <v>420</v>
      </c>
      <c r="Q11" s="128" t="b">
        <v>0</v>
      </c>
      <c r="R11" s="128" t="b">
        <v>0</v>
      </c>
      <c r="S11" s="665">
        <f>'1 Certification'!H39</f>
        <v>0</v>
      </c>
      <c r="T11" s="128" t="str">
        <f>IF(AND(Q11=TRUE,'1 Certification'!G39&gt;0),"Remove Add. Cement",IF(AND(AND(Q11=FALSE,R11=FALSE),OR('1 Certification'!G39&gt;0,'1 Certification'!D39&gt;0,'1 Certification'!B39&gt;0)),"HES Modification?",IF(AND(Q11=FALSE,R11=FALSE),"-",IF(AND(Q11=TRUE,R11=TRUE),"Select One Option",IF(AND('1 Certification'!G39=0,R11=TRUE),"Enter Add. Cement",IF(AND(OR(Q11=TRUE,R11=TRUE),S11=0),"Placement Method?",IF(AND(R11=TRUE,'1 Certification'!G39&gt;=95,'1 Certification'!G39&lt;=280),"PASS",IF(Q11=TRUE,"PASS","FAIL"))))))))</f>
        <v>-</v>
      </c>
    </row>
    <row r="12" spans="1:20" s="361" customFormat="1" ht="16.95" customHeight="1" x14ac:dyDescent="0.3">
      <c r="A12" s="454" t="str">
        <f>'2 Aggregate System'!A16</f>
        <v>Fine A</v>
      </c>
      <c r="B12" s="741" t="str">
        <f>IF('2 Aggregate System'!B16=0,"",'2 Aggregate System'!B16)</f>
        <v/>
      </c>
      <c r="C12" s="742"/>
      <c r="D12" s="610"/>
      <c r="E12" s="598" t="str">
        <f t="shared" si="0"/>
        <v/>
      </c>
      <c r="F12" s="457">
        <f>'6 Calculation Check'!P8</f>
        <v>0</v>
      </c>
      <c r="G12" s="458" t="str">
        <f>'5 Agg Analysis'!AD94</f>
        <v>-</v>
      </c>
      <c r="H12" s="596" t="s">
        <v>220</v>
      </c>
      <c r="I12" s="469">
        <f>IF('3 Paste Quality'!B39=0,0,ROUND('3 Paste Quality'!B39*'3 Paste Quality'!$B$32/100,0))</f>
        <v>0</v>
      </c>
      <c r="J12" s="470">
        <f>'6 Calculation Check'!P13</f>
        <v>0</v>
      </c>
      <c r="K12" s="719" t="str">
        <f>'6 Calculation Check'!G34</f>
        <v>CM ERROR</v>
      </c>
      <c r="L12" s="445"/>
      <c r="M12" s="445"/>
      <c r="P12" s="361">
        <f>'5 Agg Analysis'!AE112</f>
        <v>-494</v>
      </c>
    </row>
    <row r="13" spans="1:20" ht="16.2" thickBot="1" x14ac:dyDescent="0.35">
      <c r="A13" s="459" t="str">
        <f>'2 Aggregate System'!A17</f>
        <v>Fine B</v>
      </c>
      <c r="B13" s="745" t="str">
        <f>IF('2 Aggregate System'!B17=0,"",'2 Aggregate System'!B17)</f>
        <v/>
      </c>
      <c r="C13" s="746"/>
      <c r="D13" s="611"/>
      <c r="E13" s="599" t="str">
        <f t="shared" si="0"/>
        <v/>
      </c>
      <c r="F13" s="594">
        <f>'6 Calculation Check'!P9</f>
        <v>0</v>
      </c>
      <c r="G13" s="462" t="str">
        <f>'5 Agg Analysis'!AD95</f>
        <v>-</v>
      </c>
      <c r="H13" s="596" t="s">
        <v>222</v>
      </c>
      <c r="I13" s="469">
        <f>IF('3 Paste Quality'!B40=0,0,ROUND('3 Paste Quality'!B40*'3 Paste Quality'!$B$32/100,0))</f>
        <v>0</v>
      </c>
      <c r="J13" s="470">
        <f>'6 Calculation Check'!P14</f>
        <v>0</v>
      </c>
      <c r="K13" s="719" t="str">
        <f>'6 Calculation Check'!G35</f>
        <v>CM ERROR</v>
      </c>
    </row>
    <row r="14" spans="1:20" ht="15.6" customHeight="1" thickBot="1" x14ac:dyDescent="0.35">
      <c r="A14" s="755" t="s">
        <v>405</v>
      </c>
      <c r="B14" s="756"/>
      <c r="C14" s="757"/>
      <c r="D14" s="608"/>
      <c r="H14" s="454" t="s">
        <v>73</v>
      </c>
      <c r="I14" s="469" t="e">
        <f>IF('3 Paste Quality'!B33&gt;'3 Paste Quality'!C28,"W/CM ERROR",D17*'3 Paste Quality'!B33)</f>
        <v>#VALUE!</v>
      </c>
      <c r="J14" s="470">
        <v>1</v>
      </c>
      <c r="K14" s="719" t="str">
        <f>'6 Calculation Check'!G37</f>
        <v>CM ERROR</v>
      </c>
    </row>
    <row r="15" spans="1:20" ht="16.2" thickBot="1" x14ac:dyDescent="0.35">
      <c r="A15" s="755" t="s">
        <v>425</v>
      </c>
      <c r="B15" s="756"/>
      <c r="C15" s="757"/>
      <c r="D15" s="721">
        <f>D9+D10+D11+D12+D13</f>
        <v>0</v>
      </c>
      <c r="H15" s="459" t="s">
        <v>379</v>
      </c>
      <c r="I15" s="720" t="str">
        <f>IF('6 Calculation Check'!D12=0,"VOL. AIR?",'6 Calculation Check'!$D$12)</f>
        <v>VOL. AIR?</v>
      </c>
      <c r="J15" s="476"/>
      <c r="K15" s="719" t="str">
        <f>'6 Calculation Check'!G38</f>
        <v>AIR ?</v>
      </c>
    </row>
    <row r="16" spans="1:20" ht="16.2" thickBot="1" x14ac:dyDescent="0.35">
      <c r="A16" s="1114" t="s">
        <v>69</v>
      </c>
      <c r="B16" s="1115"/>
      <c r="C16" s="1116"/>
      <c r="D16" s="585">
        <f>'6 Calculation Check'!D11</f>
        <v>0</v>
      </c>
      <c r="K16" s="478" t="str">
        <f>IF(AND(D9=0,D10=0,D11=0,D12=0,D13=0),"ENTER % WTS.",IF(OR('6 Calculation Check'!$D$12=0,'3 Paste Quality'!B32&lt;'3 Paste Quality'!$C$27,'3 Paste Quality'!B41&gt;'6 Calculation Check'!$D$15,'3 Paste Quality'!B32=0),"CM ERROR",SUM(G9:G13,K9:K15)))</f>
        <v>ENTER % WTS.</v>
      </c>
    </row>
    <row r="17" spans="1:17" ht="16.2" thickBot="1" x14ac:dyDescent="0.35">
      <c r="A17" s="1114" t="s">
        <v>282</v>
      </c>
      <c r="B17" s="1115"/>
      <c r="C17" s="1116"/>
      <c r="D17" s="586" t="str">
        <f>'6 Calculation Check'!E10</f>
        <v>CM ERROR</v>
      </c>
    </row>
    <row r="18" spans="1:17" ht="16.2" thickBot="1" x14ac:dyDescent="0.35">
      <c r="A18" s="1114" t="s">
        <v>404</v>
      </c>
      <c r="B18" s="1115"/>
      <c r="C18" s="1116"/>
      <c r="D18" s="587">
        <f>'6 Calculation Check'!D12</f>
        <v>0</v>
      </c>
    </row>
    <row r="21" spans="1:17" x14ac:dyDescent="0.3">
      <c r="B21" s="584"/>
      <c r="C21" s="584"/>
      <c r="J21" s="361"/>
      <c r="K21" s="361"/>
      <c r="L21" s="361"/>
      <c r="M21" s="361"/>
      <c r="N21" s="465"/>
      <c r="O21" s="466"/>
      <c r="P21" s="467"/>
      <c r="Q21" s="468"/>
    </row>
    <row r="22" spans="1:17" x14ac:dyDescent="0.3">
      <c r="B22" s="584"/>
      <c r="C22" s="584"/>
      <c r="J22" s="361"/>
      <c r="K22" s="361"/>
      <c r="L22" s="361"/>
      <c r="M22" s="471"/>
      <c r="N22" s="465"/>
      <c r="O22" s="472"/>
      <c r="P22" s="473"/>
      <c r="Q22" s="468"/>
    </row>
    <row r="23" spans="1:17" x14ac:dyDescent="0.3">
      <c r="B23" s="584"/>
      <c r="C23" s="584"/>
      <c r="J23" s="361"/>
      <c r="K23" s="361"/>
      <c r="L23" s="361"/>
      <c r="M23" s="471"/>
      <c r="O23" s="361"/>
    </row>
    <row r="24" spans="1:17" x14ac:dyDescent="0.3">
      <c r="B24" s="584"/>
      <c r="C24" s="584"/>
      <c r="J24" s="361"/>
      <c r="K24" s="361"/>
      <c r="L24" s="361"/>
      <c r="M24" s="474"/>
      <c r="O24" s="474"/>
    </row>
    <row r="25" spans="1:17" x14ac:dyDescent="0.3">
      <c r="B25" s="584"/>
      <c r="C25" s="584"/>
      <c r="J25" s="361"/>
      <c r="K25" s="361"/>
      <c r="L25" s="361"/>
      <c r="M25" s="474"/>
      <c r="O25" s="474"/>
    </row>
    <row r="26" spans="1:17" x14ac:dyDescent="0.3">
      <c r="B26" s="347"/>
      <c r="C26" s="347"/>
      <c r="I26" s="475"/>
      <c r="J26" s="361"/>
      <c r="K26" s="361"/>
      <c r="L26" s="361"/>
      <c r="M26" s="361"/>
      <c r="O26" s="361"/>
    </row>
    <row r="27" spans="1:17" x14ac:dyDescent="0.3">
      <c r="B27" s="347"/>
      <c r="C27" s="347"/>
      <c r="I27" s="475"/>
      <c r="M27" s="361"/>
      <c r="O27" s="361"/>
    </row>
    <row r="28" spans="1:17" x14ac:dyDescent="0.3">
      <c r="A28" s="347"/>
      <c r="B28" s="347"/>
      <c r="C28" s="347"/>
      <c r="D28" s="583"/>
      <c r="F28" s="432"/>
      <c r="I28" s="361"/>
    </row>
    <row r="29" spans="1:17" x14ac:dyDescent="0.3">
      <c r="A29" s="361"/>
      <c r="B29" s="361"/>
      <c r="C29" s="431"/>
      <c r="D29" s="479"/>
      <c r="E29" s="361"/>
      <c r="F29" s="361"/>
      <c r="G29" s="361"/>
      <c r="H29" s="361"/>
      <c r="I29" s="361"/>
    </row>
    <row r="30" spans="1:17" x14ac:dyDescent="0.3">
      <c r="A30" s="401"/>
      <c r="B30" s="361"/>
      <c r="C30" s="361"/>
      <c r="D30" s="361"/>
      <c r="E30" s="361"/>
      <c r="F30" s="361"/>
      <c r="G30" s="361"/>
      <c r="H30" s="361"/>
      <c r="I30" s="361"/>
    </row>
    <row r="31" spans="1:17" x14ac:dyDescent="0.3">
      <c r="A31" s="441"/>
      <c r="B31" s="441"/>
      <c r="C31" s="588"/>
      <c r="D31" s="392"/>
      <c r="F31" s="443"/>
      <c r="G31" s="443"/>
      <c r="H31" s="443"/>
      <c r="I31" s="361"/>
    </row>
    <row r="32" spans="1:17" x14ac:dyDescent="0.3">
      <c r="A32" s="590"/>
      <c r="B32" s="590"/>
      <c r="C32" s="589"/>
      <c r="D32" s="392"/>
      <c r="F32" s="443"/>
      <c r="G32" s="443"/>
      <c r="H32" s="443"/>
      <c r="I32" s="361"/>
    </row>
    <row r="33" spans="1:14" x14ac:dyDescent="0.3">
      <c r="A33" s="590"/>
      <c r="B33" s="590"/>
      <c r="C33" s="591"/>
      <c r="D33" s="392"/>
      <c r="F33" s="443"/>
      <c r="G33" s="443"/>
      <c r="H33" s="443"/>
      <c r="I33" s="361"/>
    </row>
    <row r="34" spans="1:14" x14ac:dyDescent="0.3">
      <c r="A34" s="590"/>
      <c r="B34" s="590"/>
      <c r="C34" s="319"/>
      <c r="D34" s="392"/>
      <c r="F34" s="443"/>
      <c r="G34" s="443"/>
      <c r="H34" s="443"/>
      <c r="I34" s="361"/>
    </row>
    <row r="35" spans="1:14" x14ac:dyDescent="0.3">
      <c r="A35" s="590"/>
      <c r="B35" s="590"/>
      <c r="C35" s="319"/>
      <c r="D35" s="392"/>
      <c r="F35" s="443"/>
      <c r="G35" s="443"/>
      <c r="H35" s="443"/>
      <c r="I35" s="361"/>
      <c r="N35" s="486"/>
    </row>
    <row r="36" spans="1:14" x14ac:dyDescent="0.3">
      <c r="A36" s="590"/>
      <c r="B36" s="590"/>
      <c r="C36" s="467"/>
      <c r="D36" s="468"/>
      <c r="F36" s="361"/>
      <c r="G36" s="361"/>
      <c r="H36" s="361"/>
      <c r="I36" s="361"/>
      <c r="J36" s="361"/>
      <c r="M36" s="361"/>
    </row>
    <row r="37" spans="1:14" ht="16.2" thickBot="1" x14ac:dyDescent="0.35">
      <c r="A37" s="347"/>
      <c r="B37" s="347"/>
      <c r="C37" s="467"/>
      <c r="D37" s="468"/>
      <c r="F37" s="361"/>
      <c r="G37" s="361"/>
      <c r="H37" s="361"/>
      <c r="I37" s="361"/>
      <c r="J37" s="361"/>
      <c r="M37" s="361"/>
    </row>
    <row r="38" spans="1:14" ht="16.2" thickBot="1" x14ac:dyDescent="0.35">
      <c r="A38" s="760" t="s">
        <v>256</v>
      </c>
      <c r="B38" s="787"/>
      <c r="C38" s="787"/>
      <c r="D38" s="787"/>
      <c r="E38" s="787"/>
      <c r="F38" s="787"/>
      <c r="G38" s="787"/>
      <c r="H38" s="787"/>
      <c r="I38" s="787"/>
      <c r="J38" s="788"/>
      <c r="M38" s="361"/>
    </row>
    <row r="39" spans="1:14" ht="16.2" thickBot="1" x14ac:dyDescent="0.35">
      <c r="A39" s="491"/>
      <c r="B39" s="812" t="s">
        <v>271</v>
      </c>
      <c r="C39" s="813"/>
      <c r="D39" s="813"/>
      <c r="E39" s="813"/>
      <c r="F39" s="813"/>
      <c r="G39" s="820" t="s">
        <v>228</v>
      </c>
      <c r="H39" s="821"/>
      <c r="I39" s="821"/>
      <c r="J39" s="822"/>
      <c r="M39" s="361"/>
    </row>
    <row r="40" spans="1:14" ht="16.2" thickBot="1" x14ac:dyDescent="0.35">
      <c r="A40" s="777" t="s">
        <v>178</v>
      </c>
      <c r="B40" s="368" t="s">
        <v>167</v>
      </c>
      <c r="C40" s="492" t="s">
        <v>168</v>
      </c>
      <c r="D40" s="368" t="s">
        <v>185</v>
      </c>
      <c r="E40" s="492" t="s">
        <v>186</v>
      </c>
      <c r="F40" s="368" t="s">
        <v>187</v>
      </c>
      <c r="G40" s="789" t="s">
        <v>273</v>
      </c>
      <c r="H40" s="790"/>
      <c r="I40" s="777" t="s">
        <v>261</v>
      </c>
      <c r="J40" s="777" t="s">
        <v>50</v>
      </c>
      <c r="M40" s="361"/>
    </row>
    <row r="41" spans="1:14" ht="51" customHeight="1" thickBot="1" x14ac:dyDescent="0.35">
      <c r="A41" s="778"/>
      <c r="B41" s="312" t="str">
        <f>'2 Aggregate System'!B24</f>
        <v/>
      </c>
      <c r="C41" s="312" t="str">
        <f>'2 Aggregate System'!C24</f>
        <v/>
      </c>
      <c r="D41" s="312" t="str">
        <f>'2 Aggregate System'!D24</f>
        <v/>
      </c>
      <c r="E41" s="312" t="str">
        <f>'2 Aggregate System'!E24</f>
        <v/>
      </c>
      <c r="F41" s="312" t="str">
        <f>'2 Aggregate System'!F24</f>
        <v/>
      </c>
      <c r="G41" s="791"/>
      <c r="H41" s="792"/>
      <c r="I41" s="795"/>
      <c r="J41" s="795"/>
    </row>
    <row r="42" spans="1:14" ht="16.2" thickBot="1" x14ac:dyDescent="0.35">
      <c r="A42" s="420" t="s">
        <v>426</v>
      </c>
      <c r="B42" s="493">
        <f>'5 Agg Analysis'!AB91</f>
        <v>0</v>
      </c>
      <c r="C42" s="493">
        <f>'5 Agg Analysis'!AB92</f>
        <v>0</v>
      </c>
      <c r="D42" s="493">
        <f>'5 Agg Analysis'!AB93</f>
        <v>0</v>
      </c>
      <c r="E42" s="493">
        <f>'5 Agg Analysis'!AB94</f>
        <v>0</v>
      </c>
      <c r="F42" s="493">
        <f>'5 Agg Analysis'!AB95</f>
        <v>0</v>
      </c>
      <c r="G42" s="793" t="s">
        <v>247</v>
      </c>
      <c r="H42" s="793" t="s">
        <v>246</v>
      </c>
      <c r="I42" s="795"/>
      <c r="J42" s="795"/>
    </row>
    <row r="43" spans="1:14" ht="16.2" thickBot="1" x14ac:dyDescent="0.35">
      <c r="A43" s="420" t="s">
        <v>31</v>
      </c>
      <c r="B43" s="809" t="s">
        <v>226</v>
      </c>
      <c r="C43" s="810"/>
      <c r="D43" s="810"/>
      <c r="E43" s="810"/>
      <c r="F43" s="811"/>
      <c r="G43" s="794"/>
      <c r="H43" s="794"/>
      <c r="I43" s="795"/>
      <c r="J43" s="778"/>
    </row>
    <row r="44" spans="1:14" x14ac:dyDescent="0.3">
      <c r="A44" s="494" t="s">
        <v>34</v>
      </c>
      <c r="B44" s="495" t="str">
        <f>'5 Agg Analysis'!AG74</f>
        <v>-</v>
      </c>
      <c r="C44" s="496" t="str">
        <f>'5 Agg Analysis'!AH74</f>
        <v>-</v>
      </c>
      <c r="D44" s="495" t="str">
        <f>'5 Agg Analysis'!AI74</f>
        <v>-</v>
      </c>
      <c r="E44" s="495" t="str">
        <f>'5 Agg Analysis'!AJ74</f>
        <v>-</v>
      </c>
      <c r="F44" s="496" t="str">
        <f>'5 Agg Analysis'!AK74</f>
        <v>-</v>
      </c>
      <c r="G44" s="604">
        <f>'5 Agg Analysis'!AB99</f>
        <v>100</v>
      </c>
      <c r="H44" s="605">
        <f>'5 Agg Analysis'!AC99</f>
        <v>100</v>
      </c>
      <c r="I44" s="499">
        <f>'5 Agg Analysis'!AL74</f>
        <v>0</v>
      </c>
      <c r="J44" s="499" t="str">
        <f>IF(AND(I44&lt;=G44,I44&gt;=H44),"Pass","Fail")</f>
        <v>Fail</v>
      </c>
    </row>
    <row r="45" spans="1:14" x14ac:dyDescent="0.3">
      <c r="A45" s="501" t="s">
        <v>35</v>
      </c>
      <c r="B45" s="502" t="str">
        <f>'5 Agg Analysis'!AG75</f>
        <v>-</v>
      </c>
      <c r="C45" s="503" t="str">
        <f>'5 Agg Analysis'!AH75</f>
        <v>-</v>
      </c>
      <c r="D45" s="502" t="str">
        <f>'5 Agg Analysis'!AI75</f>
        <v>-</v>
      </c>
      <c r="E45" s="502" t="str">
        <f>'5 Agg Analysis'!AJ75</f>
        <v>-</v>
      </c>
      <c r="F45" s="503" t="str">
        <f>'5 Agg Analysis'!AK75</f>
        <v>-</v>
      </c>
      <c r="G45" s="498">
        <f>'5 Agg Analysis'!AB100</f>
        <v>100</v>
      </c>
      <c r="H45" s="606">
        <f>'5 Agg Analysis'!AC100</f>
        <v>96</v>
      </c>
      <c r="I45" s="506">
        <f>'5 Agg Analysis'!AL75</f>
        <v>0</v>
      </c>
      <c r="J45" s="500" t="str">
        <f t="shared" ref="J45:J56" si="1">IF(AND(I45&lt;=G45,I45&gt;=H45),"Pass","Fail")</f>
        <v>Fail</v>
      </c>
    </row>
    <row r="46" spans="1:14" x14ac:dyDescent="0.3">
      <c r="A46" s="501" t="s">
        <v>36</v>
      </c>
      <c r="B46" s="502" t="str">
        <f>'5 Agg Analysis'!AG76</f>
        <v>-</v>
      </c>
      <c r="C46" s="503" t="str">
        <f>'5 Agg Analysis'!AH76</f>
        <v>-</v>
      </c>
      <c r="D46" s="502" t="str">
        <f>'5 Agg Analysis'!AI76</f>
        <v>-</v>
      </c>
      <c r="E46" s="502" t="str">
        <f>'5 Agg Analysis'!AJ76</f>
        <v>-</v>
      </c>
      <c r="F46" s="503" t="str">
        <f>'5 Agg Analysis'!AK76</f>
        <v>-</v>
      </c>
      <c r="G46" s="498">
        <f>'5 Agg Analysis'!AB101</f>
        <v>99</v>
      </c>
      <c r="H46" s="606">
        <f>'5 Agg Analysis'!AC101</f>
        <v>70</v>
      </c>
      <c r="I46" s="506">
        <f>'5 Agg Analysis'!AL76</f>
        <v>0</v>
      </c>
      <c r="J46" s="500" t="str">
        <f t="shared" si="1"/>
        <v>Fail</v>
      </c>
    </row>
    <row r="47" spans="1:14" x14ac:dyDescent="0.3">
      <c r="A47" s="501" t="s">
        <v>37</v>
      </c>
      <c r="B47" s="502" t="str">
        <f>'5 Agg Analysis'!AG77</f>
        <v>-</v>
      </c>
      <c r="C47" s="503" t="str">
        <f>'5 Agg Analysis'!AH77</f>
        <v>-</v>
      </c>
      <c r="D47" s="502" t="str">
        <f>'5 Agg Analysis'!AI77</f>
        <v>-</v>
      </c>
      <c r="E47" s="502" t="str">
        <f>'5 Agg Analysis'!AJ77</f>
        <v>-</v>
      </c>
      <c r="F47" s="503" t="str">
        <f>'5 Agg Analysis'!AK77</f>
        <v>-</v>
      </c>
      <c r="G47" s="498">
        <f>'5 Agg Analysis'!AB102</f>
        <v>96</v>
      </c>
      <c r="H47" s="606">
        <f>'5 Agg Analysis'!AC102</f>
        <v>55</v>
      </c>
      <c r="I47" s="506">
        <f>'5 Agg Analysis'!AL77</f>
        <v>0</v>
      </c>
      <c r="J47" s="500" t="str">
        <f t="shared" si="1"/>
        <v>Fail</v>
      </c>
    </row>
    <row r="48" spans="1:14" ht="16.2" customHeight="1" x14ac:dyDescent="0.3">
      <c r="A48" s="501" t="s">
        <v>38</v>
      </c>
      <c r="B48" s="502" t="str">
        <f>'5 Agg Analysis'!AG78</f>
        <v>-</v>
      </c>
      <c r="C48" s="503" t="str">
        <f>'5 Agg Analysis'!AH78</f>
        <v>-</v>
      </c>
      <c r="D48" s="502" t="str">
        <f>'5 Agg Analysis'!AI78</f>
        <v>-</v>
      </c>
      <c r="E48" s="502" t="str">
        <f>'5 Agg Analysis'!AJ78</f>
        <v>-</v>
      </c>
      <c r="F48" s="503" t="str">
        <f>'5 Agg Analysis'!AK78</f>
        <v>-</v>
      </c>
      <c r="G48" s="498">
        <f>'5 Agg Analysis'!AB103</f>
        <v>86</v>
      </c>
      <c r="H48" s="606">
        <f>'5 Agg Analysis'!AC103</f>
        <v>48</v>
      </c>
      <c r="I48" s="506">
        <f>'5 Agg Analysis'!AL78</f>
        <v>0</v>
      </c>
      <c r="J48" s="500" t="str">
        <f t="shared" si="1"/>
        <v>Fail</v>
      </c>
    </row>
    <row r="49" spans="1:10" x14ac:dyDescent="0.3">
      <c r="A49" s="501" t="s">
        <v>39</v>
      </c>
      <c r="B49" s="502" t="str">
        <f>'5 Agg Analysis'!AG79</f>
        <v>-</v>
      </c>
      <c r="C49" s="503" t="str">
        <f>'5 Agg Analysis'!AH79</f>
        <v>-</v>
      </c>
      <c r="D49" s="502" t="str">
        <f>'5 Agg Analysis'!AI79</f>
        <v>-</v>
      </c>
      <c r="E49" s="502" t="str">
        <f>'5 Agg Analysis'!AJ79</f>
        <v>-</v>
      </c>
      <c r="F49" s="503" t="str">
        <f>'5 Agg Analysis'!AK79</f>
        <v>-</v>
      </c>
      <c r="G49" s="498">
        <f>'5 Agg Analysis'!AB104</f>
        <v>77</v>
      </c>
      <c r="H49" s="606">
        <f>'5 Agg Analysis'!AC104</f>
        <v>38</v>
      </c>
      <c r="I49" s="506">
        <f>'5 Agg Analysis'!AL79</f>
        <v>0</v>
      </c>
      <c r="J49" s="500" t="str">
        <f t="shared" si="1"/>
        <v>Fail</v>
      </c>
    </row>
    <row r="50" spans="1:10" x14ac:dyDescent="0.3">
      <c r="A50" s="501" t="s">
        <v>40</v>
      </c>
      <c r="B50" s="502" t="str">
        <f>'5 Agg Analysis'!AG80</f>
        <v>-</v>
      </c>
      <c r="C50" s="503" t="str">
        <f>'5 Agg Analysis'!AH80</f>
        <v>-</v>
      </c>
      <c r="D50" s="502" t="str">
        <f>'5 Agg Analysis'!AI80</f>
        <v>-</v>
      </c>
      <c r="E50" s="502" t="str">
        <f>'5 Agg Analysis'!AJ80</f>
        <v>-</v>
      </c>
      <c r="F50" s="503" t="str">
        <f>'5 Agg Analysis'!AK80</f>
        <v>-</v>
      </c>
      <c r="G50" s="498">
        <f>'5 Agg Analysis'!AB105</f>
        <v>60</v>
      </c>
      <c r="H50" s="606">
        <f>'5 Agg Analysis'!AC105</f>
        <v>30</v>
      </c>
      <c r="I50" s="506">
        <f>'5 Agg Analysis'!AL80</f>
        <v>0</v>
      </c>
      <c r="J50" s="500" t="str">
        <f t="shared" si="1"/>
        <v>Fail</v>
      </c>
    </row>
    <row r="51" spans="1:10" x14ac:dyDescent="0.3">
      <c r="A51" s="501" t="s">
        <v>41</v>
      </c>
      <c r="B51" s="502" t="str">
        <f>'5 Agg Analysis'!AG81</f>
        <v>-</v>
      </c>
      <c r="C51" s="503" t="str">
        <f>'5 Agg Analysis'!AH81</f>
        <v>-</v>
      </c>
      <c r="D51" s="502" t="str">
        <f>'5 Agg Analysis'!AI81</f>
        <v>-</v>
      </c>
      <c r="E51" s="502" t="str">
        <f>'5 Agg Analysis'!AJ81</f>
        <v>-</v>
      </c>
      <c r="F51" s="503" t="str">
        <f>'5 Agg Analysis'!AK81</f>
        <v>-</v>
      </c>
      <c r="G51" s="498">
        <f>'5 Agg Analysis'!AB106</f>
        <v>53</v>
      </c>
      <c r="H51" s="606">
        <f>'5 Agg Analysis'!AC106</f>
        <v>25</v>
      </c>
      <c r="I51" s="506">
        <f>'5 Agg Analysis'!AL81</f>
        <v>0</v>
      </c>
      <c r="J51" s="500" t="str">
        <f t="shared" si="1"/>
        <v>Fail</v>
      </c>
    </row>
    <row r="52" spans="1:10" x14ac:dyDescent="0.3">
      <c r="A52" s="501" t="s">
        <v>42</v>
      </c>
      <c r="B52" s="502" t="str">
        <f>'5 Agg Analysis'!AG82</f>
        <v>-</v>
      </c>
      <c r="C52" s="503" t="str">
        <f>'5 Agg Analysis'!AH82</f>
        <v>-</v>
      </c>
      <c r="D52" s="502" t="str">
        <f>'5 Agg Analysis'!AI82</f>
        <v>-</v>
      </c>
      <c r="E52" s="502" t="str">
        <f>'5 Agg Analysis'!AJ82</f>
        <v>-</v>
      </c>
      <c r="F52" s="503" t="str">
        <f>'5 Agg Analysis'!AK82</f>
        <v>-</v>
      </c>
      <c r="G52" s="498">
        <f>'5 Agg Analysis'!AB107</f>
        <v>44</v>
      </c>
      <c r="H52" s="606">
        <f>'5 Agg Analysis'!AC107</f>
        <v>20</v>
      </c>
      <c r="I52" s="506">
        <f>'5 Agg Analysis'!AL82</f>
        <v>0</v>
      </c>
      <c r="J52" s="500" t="str">
        <f t="shared" si="1"/>
        <v>Fail</v>
      </c>
    </row>
    <row r="53" spans="1:10" x14ac:dyDescent="0.3">
      <c r="A53" s="501" t="s">
        <v>43</v>
      </c>
      <c r="B53" s="502" t="str">
        <f>'5 Agg Analysis'!AG83</f>
        <v>-</v>
      </c>
      <c r="C53" s="503" t="str">
        <f>'5 Agg Analysis'!AH83</f>
        <v>-</v>
      </c>
      <c r="D53" s="502" t="str">
        <f>'5 Agg Analysis'!AI83</f>
        <v>-</v>
      </c>
      <c r="E53" s="502" t="str">
        <f>'5 Agg Analysis'!AJ83</f>
        <v>-</v>
      </c>
      <c r="F53" s="503" t="str">
        <f>'5 Agg Analysis'!AK83</f>
        <v>-</v>
      </c>
      <c r="G53" s="498">
        <f>'5 Agg Analysis'!AB108</f>
        <v>32</v>
      </c>
      <c r="H53" s="606">
        <f>'5 Agg Analysis'!AC108</f>
        <v>10</v>
      </c>
      <c r="I53" s="506">
        <f>'5 Agg Analysis'!AL83</f>
        <v>0</v>
      </c>
      <c r="J53" s="500" t="str">
        <f t="shared" si="1"/>
        <v>Fail</v>
      </c>
    </row>
    <row r="54" spans="1:10" x14ac:dyDescent="0.3">
      <c r="A54" s="501" t="s">
        <v>44</v>
      </c>
      <c r="B54" s="502" t="str">
        <f>'5 Agg Analysis'!AG84</f>
        <v>-</v>
      </c>
      <c r="C54" s="503" t="str">
        <f>'5 Agg Analysis'!AH84</f>
        <v>-</v>
      </c>
      <c r="D54" s="502" t="str">
        <f>'5 Agg Analysis'!AI84</f>
        <v>-</v>
      </c>
      <c r="E54" s="502" t="str">
        <f>'5 Agg Analysis'!AJ84</f>
        <v>-</v>
      </c>
      <c r="F54" s="503" t="str">
        <f>'5 Agg Analysis'!AK84</f>
        <v>-</v>
      </c>
      <c r="G54" s="498">
        <f>'5 Agg Analysis'!AB109</f>
        <v>14</v>
      </c>
      <c r="H54" s="606">
        <f>'5 Agg Analysis'!AC109</f>
        <v>2</v>
      </c>
      <c r="I54" s="506">
        <f>'5 Agg Analysis'!AL84</f>
        <v>0</v>
      </c>
      <c r="J54" s="500" t="str">
        <f t="shared" si="1"/>
        <v>Fail</v>
      </c>
    </row>
    <row r="55" spans="1:10" x14ac:dyDescent="0.3">
      <c r="A55" s="501" t="s">
        <v>45</v>
      </c>
      <c r="B55" s="502" t="str">
        <f>'5 Agg Analysis'!AG85</f>
        <v>-</v>
      </c>
      <c r="C55" s="503" t="str">
        <f>'5 Agg Analysis'!AH85</f>
        <v>-</v>
      </c>
      <c r="D55" s="502" t="str">
        <f>'5 Agg Analysis'!AI85</f>
        <v>-</v>
      </c>
      <c r="E55" s="502" t="str">
        <f>'5 Agg Analysis'!AJ85</f>
        <v>-</v>
      </c>
      <c r="F55" s="503" t="str">
        <f>'5 Agg Analysis'!AK85</f>
        <v>-</v>
      </c>
      <c r="G55" s="498">
        <f>'5 Agg Analysis'!AB110</f>
        <v>6</v>
      </c>
      <c r="H55" s="606">
        <f>'5 Agg Analysis'!AC110</f>
        <v>0</v>
      </c>
      <c r="I55" s="506">
        <f>'5 Agg Analysis'!AL85</f>
        <v>0</v>
      </c>
      <c r="J55" s="500" t="str">
        <f t="shared" si="1"/>
        <v>Pass</v>
      </c>
    </row>
    <row r="56" spans="1:10" ht="16.2" thickBot="1" x14ac:dyDescent="0.35">
      <c r="A56" s="507" t="s">
        <v>46</v>
      </c>
      <c r="B56" s="508" t="str">
        <f>'5 Agg Analysis'!AG86</f>
        <v>-</v>
      </c>
      <c r="C56" s="509" t="str">
        <f>'5 Agg Analysis'!AH86</f>
        <v>-</v>
      </c>
      <c r="D56" s="508" t="str">
        <f>'5 Agg Analysis'!AI86</f>
        <v>-</v>
      </c>
      <c r="E56" s="508" t="str">
        <f>'5 Agg Analysis'!AJ86</f>
        <v>-</v>
      </c>
      <c r="F56" s="509" t="str">
        <f>'5 Agg Analysis'!AK86</f>
        <v>-</v>
      </c>
      <c r="G56" s="579">
        <f>'5 Agg Analysis'!AB111</f>
        <v>2.2999999999999998</v>
      </c>
      <c r="H56" s="607">
        <f>'5 Agg Analysis'!AC111</f>
        <v>0</v>
      </c>
      <c r="I56" s="512">
        <f>'5 Agg Analysis'!AL86</f>
        <v>0</v>
      </c>
      <c r="J56" s="513" t="str">
        <f t="shared" si="1"/>
        <v>Pass</v>
      </c>
    </row>
    <row r="57" spans="1:10" ht="16.2" customHeight="1" thickBot="1" x14ac:dyDescent="0.35">
      <c r="C57" s="806" t="s">
        <v>237</v>
      </c>
      <c r="D57" s="807"/>
      <c r="E57" s="808"/>
      <c r="F57" s="514" t="e">
        <f>'5 Agg Analysis'!AP21</f>
        <v>#VALUE!</v>
      </c>
    </row>
    <row r="58" spans="1:10" ht="16.2" customHeight="1" x14ac:dyDescent="0.3"/>
    <row r="59" spans="1:10" ht="16.2" customHeight="1" x14ac:dyDescent="0.3"/>
    <row r="72" spans="14:22" x14ac:dyDescent="0.3">
      <c r="N72" s="290"/>
      <c r="O72" s="290"/>
      <c r="P72" s="290"/>
      <c r="Q72" s="290"/>
      <c r="R72" s="290"/>
      <c r="S72" s="290"/>
      <c r="T72" s="290"/>
      <c r="U72" s="290"/>
      <c r="V72" s="290"/>
    </row>
    <row r="73" spans="14:22" x14ac:dyDescent="0.3">
      <c r="P73" s="316"/>
      <c r="Q73" s="309"/>
      <c r="R73" s="309"/>
      <c r="S73" s="309"/>
      <c r="T73" s="309"/>
      <c r="U73" s="316"/>
      <c r="V73" s="316"/>
    </row>
    <row r="74" spans="14:22" ht="15.6" customHeight="1" x14ac:dyDescent="0.3">
      <c r="N74" s="515"/>
      <c r="O74" s="515"/>
      <c r="P74" s="309"/>
      <c r="Q74" s="309"/>
      <c r="R74" s="309"/>
      <c r="S74" s="309"/>
      <c r="T74" s="309"/>
      <c r="U74" s="516"/>
      <c r="V74" s="347"/>
    </row>
    <row r="75" spans="14:22" ht="15.6" customHeight="1" x14ac:dyDescent="0.3">
      <c r="N75" s="515"/>
      <c r="O75" s="515"/>
      <c r="P75" s="309"/>
      <c r="Q75" s="309"/>
      <c r="R75" s="309"/>
      <c r="S75" s="309"/>
      <c r="T75" s="309"/>
      <c r="U75" s="516"/>
      <c r="V75" s="347"/>
    </row>
    <row r="76" spans="14:22" ht="15.6" customHeight="1" x14ac:dyDescent="0.3">
      <c r="N76" s="515"/>
      <c r="O76" s="515"/>
      <c r="P76" s="316"/>
      <c r="Q76" s="309"/>
      <c r="R76" s="309"/>
      <c r="S76" s="309"/>
      <c r="T76" s="309"/>
      <c r="U76" s="467"/>
      <c r="V76" s="392"/>
    </row>
    <row r="77" spans="14:22" x14ac:dyDescent="0.3">
      <c r="N77" s="346"/>
      <c r="O77" s="346"/>
      <c r="P77" s="346"/>
      <c r="Q77" s="346"/>
    </row>
    <row r="78" spans="14:22" x14ac:dyDescent="0.3">
      <c r="N78" s="373"/>
      <c r="O78" s="373"/>
      <c r="P78" s="373"/>
      <c r="Q78" s="373"/>
    </row>
    <row r="79" spans="14:22" x14ac:dyDescent="0.3">
      <c r="N79" s="347"/>
      <c r="O79" s="517"/>
      <c r="P79" s="517"/>
      <c r="Q79" s="517"/>
    </row>
    <row r="80" spans="14:22" x14ac:dyDescent="0.3">
      <c r="N80" s="347"/>
      <c r="O80" s="517"/>
      <c r="P80" s="517"/>
      <c r="Q80" s="517"/>
    </row>
    <row r="81" spans="14:17" x14ac:dyDescent="0.3">
      <c r="N81" s="518"/>
      <c r="O81" s="519"/>
      <c r="P81" s="520"/>
      <c r="Q81" s="392"/>
    </row>
    <row r="82" spans="14:17" x14ac:dyDescent="0.3">
      <c r="N82" s="518"/>
      <c r="O82" s="432"/>
      <c r="P82" s="520"/>
      <c r="Q82" s="392"/>
    </row>
    <row r="83" spans="14:17" x14ac:dyDescent="0.3">
      <c r="N83" s="518"/>
      <c r="O83" s="432"/>
      <c r="P83" s="520"/>
      <c r="Q83" s="392"/>
    </row>
    <row r="84" spans="14:17" x14ac:dyDescent="0.3">
      <c r="N84" s="518"/>
      <c r="O84" s="432"/>
      <c r="P84" s="520"/>
      <c r="Q84" s="392"/>
    </row>
    <row r="85" spans="14:17" x14ac:dyDescent="0.3">
      <c r="N85" s="518"/>
      <c r="O85" s="432"/>
      <c r="P85" s="520"/>
      <c r="Q85" s="392"/>
    </row>
    <row r="86" spans="14:17" x14ac:dyDescent="0.3">
      <c r="N86" s="518"/>
      <c r="O86" s="432"/>
      <c r="P86" s="520"/>
      <c r="Q86" s="392"/>
    </row>
    <row r="87" spans="14:17" x14ac:dyDescent="0.3">
      <c r="N87" s="518"/>
      <c r="O87" s="432"/>
      <c r="P87" s="520"/>
      <c r="Q87" s="392"/>
    </row>
    <row r="88" spans="14:17" x14ac:dyDescent="0.3">
      <c r="N88" s="518"/>
      <c r="O88" s="432"/>
      <c r="P88" s="520"/>
      <c r="Q88" s="392"/>
    </row>
    <row r="89" spans="14:17" x14ac:dyDescent="0.3">
      <c r="N89" s="518"/>
      <c r="O89" s="432"/>
      <c r="P89" s="520"/>
      <c r="Q89" s="392"/>
    </row>
    <row r="90" spans="14:17" x14ac:dyDescent="0.3">
      <c r="N90" s="518"/>
      <c r="O90" s="432"/>
      <c r="P90" s="520"/>
      <c r="Q90" s="392"/>
    </row>
    <row r="91" spans="14:17" x14ac:dyDescent="0.3">
      <c r="N91" s="518"/>
      <c r="O91" s="432"/>
      <c r="P91" s="520"/>
      <c r="Q91" s="392"/>
    </row>
    <row r="92" spans="14:17" x14ac:dyDescent="0.3">
      <c r="N92" s="518"/>
      <c r="O92" s="432"/>
      <c r="P92" s="520"/>
      <c r="Q92" s="392"/>
    </row>
    <row r="93" spans="14:17" x14ac:dyDescent="0.3">
      <c r="N93" s="518"/>
      <c r="O93" s="432"/>
      <c r="P93" s="520"/>
      <c r="Q93" s="392"/>
    </row>
  </sheetData>
  <sheetProtection selectLockedCells="1"/>
  <mergeCells count="41">
    <mergeCell ref="Q8:T8"/>
    <mergeCell ref="Q9:S9"/>
    <mergeCell ref="T9:T10"/>
    <mergeCell ref="C57:E57"/>
    <mergeCell ref="H7:H8"/>
    <mergeCell ref="I7:I8"/>
    <mergeCell ref="J7:J8"/>
    <mergeCell ref="K7:K8"/>
    <mergeCell ref="A38:J38"/>
    <mergeCell ref="B39:F39"/>
    <mergeCell ref="G39:J39"/>
    <mergeCell ref="A18:C18"/>
    <mergeCell ref="A40:A41"/>
    <mergeCell ref="G40:H41"/>
    <mergeCell ref="I40:I43"/>
    <mergeCell ref="J40:J43"/>
    <mergeCell ref="G42:G43"/>
    <mergeCell ref="H42:H43"/>
    <mergeCell ref="B43:F43"/>
    <mergeCell ref="A6:K6"/>
    <mergeCell ref="A14:C14"/>
    <mergeCell ref="A15:C15"/>
    <mergeCell ref="A16:C16"/>
    <mergeCell ref="A17:C17"/>
    <mergeCell ref="B9:C9"/>
    <mergeCell ref="B10:C10"/>
    <mergeCell ref="B11:C11"/>
    <mergeCell ref="B12:C12"/>
    <mergeCell ref="B13:C13"/>
    <mergeCell ref="G7:G8"/>
    <mergeCell ref="A7:A8"/>
    <mergeCell ref="B7:C8"/>
    <mergeCell ref="L9:M9"/>
    <mergeCell ref="D7:D8"/>
    <mergeCell ref="E7:E8"/>
    <mergeCell ref="F7:F8"/>
    <mergeCell ref="A1:D1"/>
    <mergeCell ref="E1:I1"/>
    <mergeCell ref="A2:I2"/>
    <mergeCell ref="A4:G4"/>
    <mergeCell ref="H4:I4"/>
  </mergeCells>
  <conditionalFormatting sqref="B42:F42">
    <cfRule type="cellIs" dxfId="52" priority="3" operator="equal">
      <formula>"ENTER WTS."</formula>
    </cfRule>
    <cfRule type="cellIs" dxfId="51" priority="12" operator="equal">
      <formula>"VOL. ERROR"</formula>
    </cfRule>
    <cfRule type="cellIs" dxfId="50" priority="15" operator="equal">
      <formula>"GRAD. ?"</formula>
    </cfRule>
  </conditionalFormatting>
  <conditionalFormatting sqref="B44:F56">
    <cfRule type="cellIs" dxfId="49" priority="10" operator="equal">
      <formula>"AGG. ERROR"</formula>
    </cfRule>
  </conditionalFormatting>
  <conditionalFormatting sqref="D15">
    <cfRule type="cellIs" dxfId="48" priority="1" operator="notBetween">
      <formula>100.05</formula>
      <formula>99.95</formula>
    </cfRule>
    <cfRule type="cellIs" dxfId="47" priority="2" operator="between">
      <formula>99.95</formula>
      <formula>100.05</formula>
    </cfRule>
  </conditionalFormatting>
  <conditionalFormatting sqref="E9:E13">
    <cfRule type="cellIs" dxfId="46" priority="4" operator="equal">
      <formula>"ENTER WTS."</formula>
    </cfRule>
    <cfRule type="cellIs" dxfId="45" priority="13" operator="equal">
      <formula>"VOL. ERROR"</formula>
    </cfRule>
    <cfRule type="cellIs" dxfId="44" priority="14" operator="equal">
      <formula>"GRAD. ?"</formula>
    </cfRule>
  </conditionalFormatting>
  <conditionalFormatting sqref="G44:J56">
    <cfRule type="cellIs" dxfId="43" priority="27" operator="equal">
      <formula>"ERROR"</formula>
    </cfRule>
  </conditionalFormatting>
  <conditionalFormatting sqref="I9">
    <cfRule type="cellIs" priority="36" operator="notEqual">
      <formula>"ERROR"</formula>
    </cfRule>
    <cfRule type="cellIs" dxfId="42" priority="37" operator="equal">
      <formula>"CM ERROR"</formula>
    </cfRule>
  </conditionalFormatting>
  <conditionalFormatting sqref="I14">
    <cfRule type="cellIs" dxfId="41" priority="21" operator="equal">
      <formula>"W/CM ERROR"</formula>
    </cfRule>
  </conditionalFormatting>
  <conditionalFormatting sqref="I15">
    <cfRule type="cellIs" dxfId="40" priority="19" operator="equal">
      <formula>"VOL. AIR?"</formula>
    </cfRule>
  </conditionalFormatting>
  <conditionalFormatting sqref="I44:I56">
    <cfRule type="cellIs" dxfId="39" priority="26" operator="equal">
      <formula>"GRAD. ERROR"</formula>
    </cfRule>
  </conditionalFormatting>
  <conditionalFormatting sqref="I44:J56">
    <cfRule type="cellIs" dxfId="38" priority="16" operator="equal">
      <formula>"AGG. ERROR"</formula>
    </cfRule>
  </conditionalFormatting>
  <conditionalFormatting sqref="J9:J12 F9:F13">
    <cfRule type="cellIs" dxfId="37" priority="11" operator="equal">
      <formula>"SG?"</formula>
    </cfRule>
  </conditionalFormatting>
  <conditionalFormatting sqref="J44:J56">
    <cfRule type="cellIs" dxfId="36" priority="7" operator="equal">
      <formula>"W/CM ERROR"</formula>
    </cfRule>
    <cfRule type="cellIs" dxfId="35" priority="20" operator="equal">
      <formula>"VOL. ERROR"</formula>
    </cfRule>
    <cfRule type="cellIs" dxfId="34" priority="30" operator="equal">
      <formula>"CM ERROR"</formula>
    </cfRule>
    <cfRule type="cellIs" dxfId="33" priority="31" operator="equal">
      <formula>"Fail"</formula>
    </cfRule>
    <cfRule type="cellIs" dxfId="32" priority="32" operator="equal">
      <formula>"Pass"</formula>
    </cfRule>
  </conditionalFormatting>
  <conditionalFormatting sqref="J9:K13">
    <cfRule type="cellIs" dxfId="31" priority="9" operator="equal">
      <formula>"ERROR: &gt;30%"</formula>
    </cfRule>
  </conditionalFormatting>
  <conditionalFormatting sqref="K9:K16">
    <cfRule type="cellIs" dxfId="30" priority="33" operator="equal">
      <formula>"CM ERROR"</formula>
    </cfRule>
  </conditionalFormatting>
  <conditionalFormatting sqref="K14">
    <cfRule type="cellIs" dxfId="29" priority="8" operator="equal">
      <formula>"W/CM ERROR"</formula>
    </cfRule>
  </conditionalFormatting>
  <conditionalFormatting sqref="K15">
    <cfRule type="cellIs" dxfId="28" priority="6" operator="equal">
      <formula>"AIR ?"</formula>
    </cfRule>
  </conditionalFormatting>
  <conditionalFormatting sqref="K16">
    <cfRule type="cellIs" dxfId="27" priority="5" operator="equal">
      <formula>"ENTER % WTS."</formula>
    </cfRule>
    <cfRule type="cellIs" dxfId="26" priority="18" operator="notBetween">
      <formula>27.15</formula>
      <formula>27.25</formula>
    </cfRule>
    <cfRule type="cellIs" dxfId="25" priority="38" operator="between">
      <formula>27.15</formula>
      <formula>27.25</formula>
    </cfRule>
  </conditionalFormatting>
  <printOptions horizontalCentered="1"/>
  <pageMargins left="0.25" right="0.25" top="0.75" bottom="0.75" header="0.3" footer="0.3"/>
  <pageSetup scale="53" fitToWidth="0" fitToHeight="0" orientation="landscape" r:id="rId1"/>
  <headerFooter>
    <oddFooter>&amp;L&amp;9&amp;A&amp;C&amp;9&amp;P of &amp;N&amp;R&amp;9&amp;F</oddFooter>
  </headerFooter>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errorTitle="Error" error="Use drop down menu to select the number of coarse aggregates being used in the mixture._x000a__x000a_No. 1 Only Mixtures: Select 1 CA_x000a_No. 2 and No. 1 Standard Mixtures: Select 2+ CA" xr:uid="{1634523D-AD83-42B5-BCDA-A64A6AD82870}">
          <x14:formula1>
            <xm:f>'5 Agg Analysis'!$AJ$44:$AJ$45</xm:f>
          </x14:formula1>
          <xm:sqref>H4:I4</xm:sqref>
        </x14:dataValidation>
        <x14:dataValidation type="list" errorStyle="warning" showInputMessage="1" showErrorMessage="1" errorTitle="WARNING" error="Please use drop down menu to fill in the cell." xr:uid="{C027CBAB-11DD-4309-950E-34CB380C18B9}">
          <x14:formula1>
            <xm:f>'5 Agg Analysis'!$AG$43:$AG$47</xm:f>
          </x14:formula1>
          <xm:sqref>N74:O76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88f8303-36cc-4722-843c-48f925e9524a">
      <Terms xmlns="http://schemas.microsoft.com/office/infopath/2007/PartnerControls"/>
    </lcf76f155ced4ddcb4097134ff3c332f>
    <TaxCatchAll xmlns="899d37c6-357d-48c7-9541-1039f2d502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783399D837B5408C8C0B986CC9D91F" ma:contentTypeVersion="19" ma:contentTypeDescription="Create a new document." ma:contentTypeScope="" ma:versionID="a2d99ace9a73d3cc8693da3094b82dca">
  <xsd:schema xmlns:xsd="http://www.w3.org/2001/XMLSchema" xmlns:xs="http://www.w3.org/2001/XMLSchema" xmlns:p="http://schemas.microsoft.com/office/2006/metadata/properties" xmlns:ns2="688f8303-36cc-4722-843c-48f925e9524a" xmlns:ns3="899d37c6-357d-48c7-9541-1039f2d50217" targetNamespace="http://schemas.microsoft.com/office/2006/metadata/properties" ma:root="true" ma:fieldsID="ba7471ddcc034202263784a3d3e507b6" ns2:_="" ns3:_="">
    <xsd:import namespace="688f8303-36cc-4722-843c-48f925e9524a"/>
    <xsd:import namespace="899d37c6-357d-48c7-9541-1039f2d502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8f8303-36cc-4722-843c-48f925e95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ad99dcb-e711-43b2-b35d-40f352c7fd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9d37c6-357d-48c7-9541-1039f2d5021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0d75ed8-b8b7-43de-8749-3cfde4c1b1b7}" ma:internalName="TaxCatchAll" ma:showField="CatchAllData" ma:web="899d37c6-357d-48c7-9541-1039f2d502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B789EF-A9E5-484C-B0FA-57F69FFA740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a8b72882-1d02-4704-8464-4e9c6e9dc531"/>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0FA9F98-3242-462B-A635-EE73AB2CAA88}">
  <ds:schemaRefs>
    <ds:schemaRef ds:uri="http://schemas.microsoft.com/sharepoint/v3/contenttype/forms"/>
  </ds:schemaRefs>
</ds:datastoreItem>
</file>

<file path=customXml/itemProps3.xml><?xml version="1.0" encoding="utf-8"?>
<ds:datastoreItem xmlns:ds="http://schemas.openxmlformats.org/officeDocument/2006/customXml" ds:itemID="{CE9BECBC-BDD0-4C3B-97A6-5F3AB3BB4B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Directions</vt:lpstr>
      <vt:lpstr>Directions - Modification</vt:lpstr>
      <vt:lpstr>Printing Directions</vt:lpstr>
      <vt:lpstr>1 Certification</vt:lpstr>
      <vt:lpstr>1A Modification</vt:lpstr>
      <vt:lpstr>2 Aggregate System</vt:lpstr>
      <vt:lpstr>3 Paste Quality</vt:lpstr>
      <vt:lpstr>4 Mix Design</vt:lpstr>
      <vt:lpstr>Optimize Tool</vt:lpstr>
      <vt:lpstr>Data_Charts</vt:lpstr>
      <vt:lpstr>5 Agg Analysis</vt:lpstr>
      <vt:lpstr>6 Calculation Check</vt:lpstr>
      <vt:lpstr>Unit Wt_Voids in Agg (optional)</vt:lpstr>
      <vt:lpstr>'1 Certification'!Print_Area</vt:lpstr>
      <vt:lpstr>'1A Modification'!Print_Area</vt:lpstr>
      <vt:lpstr>'2 Aggregate System'!Print_Area</vt:lpstr>
      <vt:lpstr>'3 Paste Quality'!Print_Area</vt:lpstr>
      <vt:lpstr>'4 Mix Design'!Print_Area</vt:lpstr>
      <vt:lpstr>Data_Charts!Print_Area</vt:lpstr>
      <vt:lpstr>Directions!Print_Area</vt:lpstr>
      <vt:lpstr>'Optimize Tool'!Print_Area</vt:lpstr>
      <vt:lpstr>'Printing Directions'!Print_Area</vt:lpstr>
      <vt:lpstr>'1A Modification'!Print_Titles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7-8-2019-optimized-pcc-spreadsheet.xlsx</dc:title>
  <dc:creator>Jackie Spoor</dc:creator>
  <cp:keywords>7-8-2019-optimized-pcc-spreadsheet.xlsx</cp:keywords>
  <cp:lastModifiedBy>Leslie Ashauer</cp:lastModifiedBy>
  <cp:lastPrinted>2026-07-29T21:32:44Z</cp:lastPrinted>
  <dcterms:created xsi:type="dcterms:W3CDTF">2019-04-29T15:27:56Z</dcterms:created>
  <dcterms:modified xsi:type="dcterms:W3CDTF">2026-07-29T21:33:53Z</dcterms:modified>
  <cp:category>7-8-2019-optimized-pcc-spreadsheet.xlsx</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0x0101001F783399D837B5408C8C0B986CC9D91F</vt:lpwstr>
  </property>
</Properties>
</file>